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4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soradgjof.sharepoint.com/sites/workpoint/Project740/Documents/3 Greining/Inn á onedrive/"/>
    </mc:Choice>
  </mc:AlternateContent>
  <xr:revisionPtr revIDLastSave="2" documentId="8_{61C3F09A-A425-4570-8DAB-00A5E206BAF0}" xr6:coauthVersionLast="45" xr6:coauthVersionMax="45" xr10:uidLastSave="{F7019DC0-0E69-41A4-B21C-92090041F1CA}"/>
  <bookViews>
    <workbookView xWindow="-120" yWindow="-120" windowWidth="29040" windowHeight="15840" xr2:uid="{84A67A12-3ED1-48D7-85E0-73109AA68054}"/>
  </bookViews>
  <sheets>
    <sheet name="IBUASPA_OG_IBUDATHÖRF" sheetId="4" r:id="rId1"/>
    <sheet name="FJÖLDI_STARFA" sheetId="3" r:id="rId2"/>
    <sheet name="SAMGÖNGUM SVÆDI" sheetId="5" r:id="rId3"/>
    <sheet name="Spá um íbúafjölgun skv HMS" sheetId="2" r:id="rId4"/>
    <sheet name="ibudasvaedi_samgongur" sheetId="6" r:id="rId5"/>
    <sheet name="atvinnusvaedi_samgongur" sheetId="7" r:id="rId6"/>
  </sheets>
  <definedNames>
    <definedName name="_xlnm.Print_Titles" localSheetId="4">ibudasvaedi_samgongur!$2:$2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4" i="5" l="1"/>
  <c r="X36" i="4" l="1"/>
  <c r="X34" i="4"/>
  <c r="J28" i="4"/>
  <c r="J26" i="4"/>
  <c r="Y34" i="4"/>
  <c r="W34" i="4"/>
  <c r="Y29" i="4"/>
  <c r="X29" i="4"/>
  <c r="Y27" i="4"/>
  <c r="Y28" i="4"/>
  <c r="Y26" i="4"/>
  <c r="S27" i="4" l="1"/>
  <c r="S28" i="4"/>
  <c r="S26" i="4"/>
  <c r="C47" i="4"/>
  <c r="C48" i="4" l="1"/>
  <c r="W38" i="4"/>
  <c r="E42" i="5" l="1"/>
  <c r="D42" i="5"/>
  <c r="E41" i="5"/>
  <c r="D41" i="5"/>
  <c r="E40" i="5"/>
  <c r="D40" i="5"/>
  <c r="E39" i="5"/>
  <c r="D39" i="5"/>
  <c r="E38" i="5"/>
  <c r="D38" i="5"/>
  <c r="J59" i="7"/>
  <c r="E59" i="7"/>
  <c r="E37" i="5"/>
  <c r="F37" i="5" s="1"/>
  <c r="F7" i="5"/>
  <c r="F8" i="5"/>
  <c r="F9" i="5"/>
  <c r="F10" i="5"/>
  <c r="F11" i="5"/>
  <c r="E7" i="5"/>
  <c r="E8" i="5"/>
  <c r="E9" i="5"/>
  <c r="E10" i="5"/>
  <c r="E11" i="5"/>
  <c r="D7" i="5"/>
  <c r="D8" i="5"/>
  <c r="D9" i="5"/>
  <c r="D10" i="5"/>
  <c r="D11" i="5"/>
  <c r="D37" i="5"/>
  <c r="K62" i="7"/>
  <c r="J62" i="7"/>
  <c r="E62" i="7"/>
  <c r="J61" i="7"/>
  <c r="K61" i="7" s="1"/>
  <c r="E61" i="7"/>
  <c r="J60" i="7"/>
  <c r="E60" i="7"/>
  <c r="K60" i="7" s="1"/>
  <c r="J58" i="7"/>
  <c r="K58" i="7" s="1"/>
  <c r="E58" i="7"/>
  <c r="K57" i="7"/>
  <c r="J57" i="7"/>
  <c r="E57" i="7"/>
  <c r="J67" i="6"/>
  <c r="K67" i="6" s="1"/>
  <c r="E67" i="6"/>
  <c r="J70" i="6"/>
  <c r="E70" i="6"/>
  <c r="J69" i="6"/>
  <c r="K69" i="6" s="1"/>
  <c r="E69" i="6"/>
  <c r="J68" i="6"/>
  <c r="E68" i="6"/>
  <c r="J66" i="6"/>
  <c r="K66" i="6" s="1"/>
  <c r="E66" i="6"/>
  <c r="J65" i="6"/>
  <c r="E6" i="5" s="1"/>
  <c r="E65" i="6"/>
  <c r="D6" i="5" s="1"/>
  <c r="J63" i="7" l="1"/>
  <c r="E63" i="7"/>
  <c r="K63" i="7" s="1"/>
  <c r="K68" i="6"/>
  <c r="K70" i="6"/>
  <c r="K65" i="6"/>
  <c r="F6" i="5" s="1"/>
  <c r="J71" i="6"/>
  <c r="E71" i="6"/>
  <c r="K71" i="6" l="1"/>
  <c r="F12" i="5" s="1"/>
  <c r="J39" i="5" l="1"/>
  <c r="I39" i="5"/>
  <c r="E43" i="5"/>
  <c r="F42" i="5"/>
  <c r="I42" i="5" s="1"/>
  <c r="J42" i="5" s="1"/>
  <c r="F40" i="5"/>
  <c r="I40" i="5" s="1"/>
  <c r="J40" i="5" s="1"/>
  <c r="F38" i="5"/>
  <c r="I38" i="5" s="1"/>
  <c r="J38" i="5" s="1"/>
  <c r="I37" i="5"/>
  <c r="J37" i="5" s="1"/>
  <c r="I13" i="5"/>
  <c r="J13" i="5" s="1"/>
  <c r="F41" i="5" l="1"/>
  <c r="I41" i="5" s="1"/>
  <c r="J41" i="5" s="1"/>
  <c r="D43" i="5"/>
  <c r="F43" i="5" s="1"/>
  <c r="I43" i="5" s="1"/>
  <c r="J43" i="5" s="1"/>
  <c r="E12" i="5" l="1"/>
  <c r="C54" i="4" l="1"/>
  <c r="D9" i="4"/>
  <c r="H27" i="4" l="1"/>
  <c r="X10" i="4" l="1"/>
  <c r="E28" i="4"/>
  <c r="F28" i="4"/>
  <c r="G28" i="4"/>
  <c r="D28" i="4"/>
  <c r="E26" i="4"/>
  <c r="F26" i="4"/>
  <c r="G26" i="4"/>
  <c r="D26" i="4"/>
  <c r="C28" i="4"/>
  <c r="C26" i="4"/>
  <c r="S34" i="4"/>
  <c r="T34" i="4" s="1"/>
  <c r="S35" i="4" l="1"/>
  <c r="H28" i="4"/>
  <c r="S33" i="4"/>
  <c r="H26" i="4"/>
  <c r="T35" i="4" l="1"/>
  <c r="U35" i="4" s="1"/>
  <c r="V35" i="4" s="1"/>
  <c r="W35" i="4" s="1"/>
  <c r="Y36" i="4"/>
  <c r="U34" i="4"/>
  <c r="V34" i="4" s="1"/>
  <c r="D10" i="4"/>
  <c r="E7" i="3"/>
  <c r="F7" i="3"/>
  <c r="G7" i="3"/>
  <c r="H7" i="3"/>
  <c r="I7" i="3"/>
  <c r="J7" i="3"/>
  <c r="K7" i="3"/>
  <c r="L7" i="3"/>
  <c r="M7" i="3"/>
  <c r="N7" i="3"/>
  <c r="O7" i="3"/>
  <c r="D7" i="3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T33" i="4"/>
  <c r="U33" i="4" s="1"/>
  <c r="V33" i="4" s="1"/>
  <c r="W33" i="4" s="1"/>
  <c r="X33" i="4" s="1"/>
  <c r="V10" i="4"/>
  <c r="W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X35" i="4" l="1"/>
  <c r="Y35" i="4" s="1"/>
  <c r="C55" i="4"/>
  <c r="Y33" i="4"/>
  <c r="C53" i="4"/>
  <c r="E21" i="4"/>
  <c r="C18" i="4"/>
  <c r="F18" i="4"/>
  <c r="E17" i="4"/>
  <c r="D21" i="4"/>
  <c r="F21" i="4"/>
  <c r="D18" i="4"/>
  <c r="D20" i="4"/>
  <c r="E20" i="4"/>
  <c r="C21" i="4"/>
  <c r="C20" i="4"/>
  <c r="F19" i="4"/>
  <c r="F20" i="4"/>
  <c r="E18" i="4"/>
  <c r="C17" i="4"/>
  <c r="F17" i="4"/>
  <c r="C19" i="4"/>
  <c r="D17" i="4"/>
  <c r="D19" i="4"/>
  <c r="E19" i="4"/>
  <c r="I12" i="2"/>
  <c r="AG15" i="2" l="1"/>
  <c r="AG16" i="2" s="1"/>
  <c r="AD8" i="2"/>
  <c r="AE8" i="2" s="1"/>
  <c r="AF8" i="2" s="1"/>
  <c r="AG8" i="2" s="1"/>
  <c r="AH8" i="2" s="1"/>
  <c r="AI8" i="2" s="1"/>
  <c r="AJ8" i="2" s="1"/>
  <c r="AK8" i="2" s="1"/>
  <c r="AL8" i="2" s="1"/>
  <c r="AM8" i="2" s="1"/>
  <c r="AE11" i="2"/>
  <c r="AD11" i="2"/>
  <c r="AL11" i="2"/>
  <c r="AM11" i="2"/>
  <c r="AL12" i="2"/>
  <c r="AM12" i="2"/>
  <c r="AL13" i="2"/>
  <c r="AM13" i="2"/>
  <c r="Y8" i="2"/>
  <c r="Z8" i="2"/>
  <c r="AA8" i="2"/>
  <c r="AB8" i="2"/>
  <c r="AC8" i="2"/>
  <c r="X8" i="2"/>
  <c r="AC12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G11" i="2"/>
  <c r="AH11" i="2"/>
  <c r="AI11" i="2"/>
  <c r="AG12" i="2"/>
  <c r="AH12" i="2"/>
  <c r="AI12" i="2"/>
  <c r="AG13" i="2"/>
  <c r="AH13" i="2"/>
  <c r="AI13" i="2"/>
  <c r="AJ11" i="2"/>
  <c r="AK11" i="2"/>
  <c r="AJ12" i="2"/>
  <c r="AK12" i="2"/>
  <c r="AJ13" i="2"/>
  <c r="AK13" i="2"/>
  <c r="J12" i="2"/>
  <c r="K12" i="2"/>
  <c r="L12" i="2"/>
  <c r="M12" i="2"/>
  <c r="N12" i="2"/>
  <c r="O12" i="2"/>
  <c r="P12" i="2"/>
  <c r="C8" i="2"/>
  <c r="C9" i="2"/>
  <c r="C7" i="2"/>
  <c r="AF11" i="2"/>
  <c r="AF12" i="2"/>
  <c r="AF13" i="2"/>
  <c r="AE13" i="2"/>
  <c r="AE12" i="2"/>
  <c r="Q12" i="2"/>
  <c r="R12" i="2"/>
  <c r="S12" i="2"/>
  <c r="T12" i="2"/>
  <c r="U12" i="2"/>
  <c r="V12" i="2"/>
  <c r="W12" i="2"/>
  <c r="X12" i="2"/>
  <c r="Y12" i="2"/>
  <c r="Z12" i="2"/>
  <c r="AA12" i="2"/>
  <c r="AB12" i="2"/>
  <c r="AD13" i="2"/>
  <c r="AD12" i="2"/>
  <c r="C5" i="2"/>
  <c r="D8" i="2" l="1"/>
  <c r="D7" i="2"/>
  <c r="D9" i="2"/>
  <c r="C8" i="4" l="1"/>
  <c r="S11" i="4" l="1"/>
  <c r="Q8" i="4"/>
  <c r="Q11" i="4"/>
  <c r="P8" i="4"/>
  <c r="P11" i="4"/>
  <c r="L8" i="4"/>
  <c r="L11" i="4"/>
  <c r="K8" i="4"/>
  <c r="K11" i="4"/>
  <c r="R8" i="4"/>
  <c r="R11" i="4"/>
  <c r="T8" i="4"/>
  <c r="T11" i="4"/>
  <c r="N8" i="4"/>
  <c r="N11" i="4"/>
  <c r="D8" i="4"/>
  <c r="D11" i="4"/>
  <c r="I8" i="4"/>
  <c r="I11" i="4"/>
  <c r="W8" i="4"/>
  <c r="W11" i="4"/>
  <c r="G8" i="4"/>
  <c r="G11" i="4"/>
  <c r="H8" i="4"/>
  <c r="H11" i="4"/>
  <c r="O8" i="4"/>
  <c r="O11" i="4"/>
  <c r="M8" i="4"/>
  <c r="M11" i="4"/>
  <c r="J8" i="4"/>
  <c r="J11" i="4"/>
  <c r="V8" i="4"/>
  <c r="V11" i="4"/>
  <c r="F8" i="4"/>
  <c r="F11" i="4"/>
  <c r="U8" i="4"/>
  <c r="U11" i="4"/>
  <c r="E8" i="4"/>
  <c r="E11" i="4"/>
  <c r="S8" i="4"/>
  <c r="E55" i="4" l="1"/>
  <c r="F55" i="4" s="1"/>
  <c r="E54" i="4"/>
  <c r="F54" i="4" s="1"/>
  <c r="E53" i="4"/>
  <c r="F53" i="4" s="1"/>
  <c r="I7" i="5" l="1"/>
  <c r="J7" i="5" s="1"/>
  <c r="I8" i="5" l="1"/>
  <c r="J8" i="5" s="1"/>
  <c r="I9" i="5"/>
  <c r="J9" i="5" s="1"/>
  <c r="X11" i="4" l="1"/>
  <c r="C22" i="4" s="1"/>
  <c r="X8" i="4"/>
  <c r="C41" i="4" s="1"/>
  <c r="I6" i="5"/>
  <c r="J6" i="5" s="1"/>
  <c r="I10" i="5"/>
  <c r="J10" i="5" s="1"/>
  <c r="C42" i="4" l="1"/>
  <c r="C43" i="4"/>
  <c r="I11" i="5" l="1"/>
  <c r="J11" i="5" s="1"/>
  <c r="D12" i="5"/>
  <c r="I12" i="5" s="1"/>
  <c r="J12" i="5" s="1"/>
</calcChain>
</file>

<file path=xl/sharedStrings.xml><?xml version="1.0" encoding="utf-8"?>
<sst xmlns="http://schemas.openxmlformats.org/spreadsheetml/2006/main" count="513" uniqueCount="220">
  <si>
    <t>Lágspá</t>
  </si>
  <si>
    <t>Höfuðborgarsvæðið</t>
  </si>
  <si>
    <t>Miðspá</t>
  </si>
  <si>
    <t>Háspá</t>
  </si>
  <si>
    <t>Mannfjöldi 1. janúar ár hvert</t>
  </si>
  <si>
    <t>Heimild: Hagstofa Íslands, hagdeild HMS</t>
  </si>
  <si>
    <t>Fjölgun íbúa</t>
  </si>
  <si>
    <t>Meðaltal á ári 1999-2019</t>
  </si>
  <si>
    <t>Háspá 2020-2024</t>
  </si>
  <si>
    <t>Miðspá 2020-2024</t>
  </si>
  <si>
    <t>Lágspá 2020-2024</t>
  </si>
  <si>
    <t>Hagstofan og HMS:</t>
  </si>
  <si>
    <t>íbúar/ári</t>
  </si>
  <si>
    <t>%</t>
  </si>
  <si>
    <t>Fjöldi starfa</t>
  </si>
  <si>
    <t>Starfandi alls</t>
  </si>
  <si>
    <t>Heimild: Hagstofa Íslands</t>
  </si>
  <si>
    <t>íbúafjöldi</t>
  </si>
  <si>
    <t>ÍBÚAFJÖLGUN 1999-2019</t>
  </si>
  <si>
    <t>Fjöldi íbúða</t>
  </si>
  <si>
    <t>hlutfall</t>
  </si>
  <si>
    <t>Fjölgun á ári (%)</t>
  </si>
  <si>
    <t>ÍBÚASPÁ 2020-2024</t>
  </si>
  <si>
    <t>MEÐALTÖL</t>
  </si>
  <si>
    <t>Íbúafjöldi</t>
  </si>
  <si>
    <t>Árleg íbúafjölgun</t>
  </si>
  <si>
    <t>00-'20</t>
  </si>
  <si>
    <t>17-'20</t>
  </si>
  <si>
    <t>05-'08</t>
  </si>
  <si>
    <t>Heildar-íbúafjölgun</t>
  </si>
  <si>
    <t>09-'12</t>
  </si>
  <si>
    <t>Mesta árlega fjölgun (%)</t>
  </si>
  <si>
    <t>Minnsta árlega fjölgun (5)</t>
  </si>
  <si>
    <t>Upps.</t>
  </si>
  <si>
    <t>Skv. spá</t>
  </si>
  <si>
    <t>Spá+upps</t>
  </si>
  <si>
    <t>Mat</t>
  </si>
  <si>
    <t>Íbúar á íbúð</t>
  </si>
  <si>
    <t>Mest</t>
  </si>
  <si>
    <t>Minnst</t>
  </si>
  <si>
    <t>Mat á ástandi í jafnvægi</t>
  </si>
  <si>
    <t>04-'20</t>
  </si>
  <si>
    <t>Algengasta hlutfall</t>
  </si>
  <si>
    <t>fjöldi</t>
  </si>
  <si>
    <t>Íbúðaþörf árið 2020</t>
  </si>
  <si>
    <t>UPPSÖFNUÐ ÍBÚÐAÞÖRF</t>
  </si>
  <si>
    <t>Raunfjöldi íbúða 2020</t>
  </si>
  <si>
    <t>Metin þörf 2020</t>
  </si>
  <si>
    <t>Uppsöfnuð þörf- reiknuð</t>
  </si>
  <si>
    <t>Íbúafjölgun og íbúðaþörf</t>
  </si>
  <si>
    <t>Landið allt</t>
  </si>
  <si>
    <t>Um er að ræða fjölda starfa við lok 2. ársfjórðung hvers árs</t>
  </si>
  <si>
    <t>Fjölgun/fækkun starfa</t>
  </si>
  <si>
    <t>íbúafjöldi*</t>
  </si>
  <si>
    <t>* í ársbyrjun hvers árs</t>
  </si>
  <si>
    <t>Áætlaður árlegur vöxtur*</t>
  </si>
  <si>
    <t>útreiknuð meðalfjölgun ´05-´25 á miðspá til staðfestingar</t>
  </si>
  <si>
    <t>ÍBÚÐAÞÖRF 2020-2024</t>
  </si>
  <si>
    <t>FJÖLDI STARFA 1999-2019</t>
  </si>
  <si>
    <t>metið sem of lágt hlutfall þar sem líkur eru á að íbúðir hafi staðið tómar eða verið í sölu mjög lengi</t>
  </si>
  <si>
    <r>
      <t>ÍBÚASPÁ 2020-2024,</t>
    </r>
    <r>
      <rPr>
        <b/>
        <sz val="11"/>
        <color rgb="FFFF0000"/>
        <rFont val="Calibri"/>
        <family val="2"/>
        <scheme val="minor"/>
      </rPr>
      <t xml:space="preserve"> VALIN GILDI</t>
    </r>
  </si>
  <si>
    <t>* á hverju ári, mælt við lok hvers árs</t>
  </si>
  <si>
    <t>Þróun '05-'20 og miðspá</t>
  </si>
  <si>
    <t>metið sem líklegt jafnvægisástand m.v. þá þjóðfélagsuppbyggingu sem nú er. Tónar við mat ÍLS (HMS) að 2016 hafi verið jafnvægisástand</t>
  </si>
  <si>
    <t>Húsnæðisáætlanir segja 2.200-2.400 íbúðir skv. skýrslu HMS frá 2019. Eru því líklega að ofmeta þörfina (af því þær eru unnar í sitt hvoru lagi?), eða er búið að lækka uppsafnaða þörf um 900 íbúðir nú þegar?</t>
  </si>
  <si>
    <t>Meðaltal</t>
  </si>
  <si>
    <t>"þrjú góðæri og þrjár kreppur"</t>
  </si>
  <si>
    <t>Árleg íbúðafjölgun</t>
  </si>
  <si>
    <t>Uppsöfnuð þörf- HMS</t>
  </si>
  <si>
    <t>Sveitarfélag</t>
  </si>
  <si>
    <t>Reykjavík</t>
  </si>
  <si>
    <t>Kópavogur</t>
  </si>
  <si>
    <t>Seltjarnarnes</t>
  </si>
  <si>
    <t>Garðabær</t>
  </si>
  <si>
    <t>Hafnarfjörður</t>
  </si>
  <si>
    <t>Mosfellsbær</t>
  </si>
  <si>
    <t>Samtals</t>
  </si>
  <si>
    <t>&lt; HGA</t>
  </si>
  <si>
    <t>Íbúðarhúsnæði</t>
  </si>
  <si>
    <t>Samtals (2020-2024)</t>
  </si>
  <si>
    <t>2020-2024</t>
  </si>
  <si>
    <t xml:space="preserve">Markmið </t>
  </si>
  <si>
    <t>Síðasta mat (2015-2018)</t>
  </si>
  <si>
    <t>Atvinnuhúsnæði</t>
  </si>
  <si>
    <t>Samgöngumiðuð uppbygging</t>
  </si>
  <si>
    <t>Innan áhrifasvæðis</t>
  </si>
  <si>
    <t>Fyrir gröf</t>
  </si>
  <si>
    <t>Reykjavík - íbúðabyggð 2020-2024</t>
  </si>
  <si>
    <t>Kópavogur - íbúðabyggð 2020-2024</t>
  </si>
  <si>
    <t>Seltjarnarnes - íbúðabyggð 2020-2024</t>
  </si>
  <si>
    <t>Garðabær - íbúðabyggð 2020-2024</t>
  </si>
  <si>
    <t>Hafnarfjörður - íbúðabyggð 2020-2024</t>
  </si>
  <si>
    <t>Mosfellsbær - íbúðabyggð 2020-2024</t>
  </si>
  <si>
    <t>Höfuðborgarsvæðið - íbúðabyggð 2020-2024</t>
  </si>
  <si>
    <t>Höfuðborgarsvæðið - markmið 2040</t>
  </si>
  <si>
    <t>Reykjavík - atvinnubyggð 2020-2024</t>
  </si>
  <si>
    <t>Kópavogur - atvinnubyggð 2020-2024</t>
  </si>
  <si>
    <t>Seltjarnarnes - atvinnubyggð 2020-2024</t>
  </si>
  <si>
    <t>Garðabær - atvinnubyggð 2020-2024</t>
  </si>
  <si>
    <t>Hafnarfjörður - atvinnubyggð 2020-2024</t>
  </si>
  <si>
    <t>Mosfellsbær - atvinnubyggð 2020-2024</t>
  </si>
  <si>
    <t>Höfuðborgarsvæðið - atvinnubyggð 2020-2024</t>
  </si>
  <si>
    <t>Innan 400m áhrifasvæði almenningssamgangna</t>
  </si>
  <si>
    <t>id</t>
  </si>
  <si>
    <t>nafn</t>
  </si>
  <si>
    <t>s_sveitafela</t>
  </si>
  <si>
    <t>tegund</t>
  </si>
  <si>
    <t>ib_fj_v2</t>
  </si>
  <si>
    <t>obyggt</t>
  </si>
  <si>
    <t>area</t>
  </si>
  <si>
    <t>area_clip</t>
  </si>
  <si>
    <t>area_hlutf</t>
  </si>
  <si>
    <t>ib_hlutfal</t>
  </si>
  <si>
    <t>Hnoðraholt</t>
  </si>
  <si>
    <t>ib</t>
  </si>
  <si>
    <t>Vetrarmýri</t>
  </si>
  <si>
    <t>ib_at</t>
  </si>
  <si>
    <t>Urriðaholt</t>
  </si>
  <si>
    <t>Lyngás</t>
  </si>
  <si>
    <t>Hraun vestur</t>
  </si>
  <si>
    <t>Lækjargata 2 (Dverrgurinn)</t>
  </si>
  <si>
    <t>Flensborgarhöfn</t>
  </si>
  <si>
    <t>Skarðshlíð</t>
  </si>
  <si>
    <t>Hamranes</t>
  </si>
  <si>
    <t>Vellir 6. áfangi</t>
  </si>
  <si>
    <t>Vatnsendahvarf austur</t>
  </si>
  <si>
    <t>Glaðheimar austur</t>
  </si>
  <si>
    <t>Glaðheimar vestur</t>
  </si>
  <si>
    <t>Nónhæð</t>
  </si>
  <si>
    <t>Smárinn</t>
  </si>
  <si>
    <t>Lundur</t>
  </si>
  <si>
    <t>Auðbrekka</t>
  </si>
  <si>
    <t>Miðbær Kópavogs</t>
  </si>
  <si>
    <t>Kópavogstún</t>
  </si>
  <si>
    <t>Bryggjuhverfi</t>
  </si>
  <si>
    <t>Kársnes</t>
  </si>
  <si>
    <t>Helgafell 4</t>
  </si>
  <si>
    <t>Helgafell 5</t>
  </si>
  <si>
    <t>Hamraborg</t>
  </si>
  <si>
    <t>Miðbær</t>
  </si>
  <si>
    <t>Hraunbær - Bæjarháls</t>
  </si>
  <si>
    <t>Norðlingaholt - Elliðabraut</t>
  </si>
  <si>
    <t>Suður - Mjódd</t>
  </si>
  <si>
    <t>Ártúnshöfði I Krossmýrartorg</t>
  </si>
  <si>
    <t>Ártúnshöfði II</t>
  </si>
  <si>
    <t>Átrúnshöfði IV Bryggjuhverfi</t>
  </si>
  <si>
    <t>Vogabyggð II</t>
  </si>
  <si>
    <t>Vogabyggð I</t>
  </si>
  <si>
    <t>Grensásvegur 1</t>
  </si>
  <si>
    <t>Orkureitur</t>
  </si>
  <si>
    <t>Sléttuvegur - Skógarvegur</t>
  </si>
  <si>
    <t>KHÍ svæði</t>
  </si>
  <si>
    <t>Sjómannaskólareitur</t>
  </si>
  <si>
    <t>Kirkjusandur</t>
  </si>
  <si>
    <t>Borgartún</t>
  </si>
  <si>
    <t>Höfðatorg</t>
  </si>
  <si>
    <t>Barónsreitur</t>
  </si>
  <si>
    <t>Snorrabraut - Egilsgata</t>
  </si>
  <si>
    <t>Skerjabyggð I</t>
  </si>
  <si>
    <t>Nemendagarðar HR</t>
  </si>
  <si>
    <t>Hlíðarendi</t>
  </si>
  <si>
    <t>HÍ-svæði austan Suðurgötu</t>
  </si>
  <si>
    <t>Steindórsreitur</t>
  </si>
  <si>
    <t>Héðinsreitur</t>
  </si>
  <si>
    <t>Vesturbugt</t>
  </si>
  <si>
    <t>Kringlan</t>
  </si>
  <si>
    <t>Akrar</t>
  </si>
  <si>
    <t>Leirvogstunga</t>
  </si>
  <si>
    <t>Úlfarsárdalur</t>
  </si>
  <si>
    <t>Leirtjörn</t>
  </si>
  <si>
    <t>Gufunes I</t>
  </si>
  <si>
    <t>Furugerði</t>
  </si>
  <si>
    <t>Álftanes</t>
  </si>
  <si>
    <t>Kjalarnes</t>
  </si>
  <si>
    <t>Bygggarðar</t>
  </si>
  <si>
    <t>2020-2024*</t>
  </si>
  <si>
    <t>* ath. ósamræmi er milli talna, vegna GIS úttektar</t>
  </si>
  <si>
    <t>&lt; HGA*</t>
  </si>
  <si>
    <t>at_fm_v2</t>
  </si>
  <si>
    <t>obyggt_at</t>
  </si>
  <si>
    <t>fm_hlutfal</t>
  </si>
  <si>
    <t>Molduhraun</t>
  </si>
  <si>
    <t>at</t>
  </si>
  <si>
    <t>Lyngás Ægisgrund</t>
  </si>
  <si>
    <t>Suðurhöfn</t>
  </si>
  <si>
    <t>Selhraun Suður</t>
  </si>
  <si>
    <t>Selhraun Norður</t>
  </si>
  <si>
    <t>Miðsvæði Valla</t>
  </si>
  <si>
    <t>Vatnsendahvarf atvinnuhluti</t>
  </si>
  <si>
    <t>Dalvegur</t>
  </si>
  <si>
    <t>Blikastaðaland - atvinnuhluti</t>
  </si>
  <si>
    <t>Norðan Krikahverfis</t>
  </si>
  <si>
    <t>Gylfaflöt</t>
  </si>
  <si>
    <t>Hálsar AT2</t>
  </si>
  <si>
    <t>Norðlingabraut</t>
  </si>
  <si>
    <t>Sundahöfn H4</t>
  </si>
  <si>
    <t>Landspítalinn</t>
  </si>
  <si>
    <t>Vísindagarðar</t>
  </si>
  <si>
    <t>Grandi - Örfirisey</t>
  </si>
  <si>
    <t>Kvos - Miðbakki</t>
  </si>
  <si>
    <t>Austurhöfn</t>
  </si>
  <si>
    <t>HÍ-svæði vestan Suðurgötu</t>
  </si>
  <si>
    <t>Álfsnesvík 12</t>
  </si>
  <si>
    <t>Desjamýri - Flugumýri</t>
  </si>
  <si>
    <t>Tungumelar 201 A</t>
  </si>
  <si>
    <t>Esjumelar AT5 austur svæði A</t>
  </si>
  <si>
    <t>Esjumelar AT5 austur svæði B</t>
  </si>
  <si>
    <t>Hólmsheiði</t>
  </si>
  <si>
    <t>Hallar - Lambhagavegur</t>
  </si>
  <si>
    <t>Krókháls</t>
  </si>
  <si>
    <t>Hellnahranu 1</t>
  </si>
  <si>
    <t>Hellnahraun 2</t>
  </si>
  <si>
    <t>Hellnahraun 3</t>
  </si>
  <si>
    <t>Utan áhrifasvæðis</t>
  </si>
  <si>
    <t>19-'24</t>
  </si>
  <si>
    <t>Hagstofa</t>
  </si>
  <si>
    <t>Eldra</t>
  </si>
  <si>
    <t>Háspá (60% ofan á miðsp.)</t>
  </si>
  <si>
    <t>Lágspá (30% undir miðspá)</t>
  </si>
  <si>
    <t>Höfuðborgarsvæðið - "staðan" 2015 (m/fyrirvara)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</si>
</sst>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30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9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name val="Times New Roman"/>
      <family val="1"/>
    </font>
    <font>
      <sz val="11"/>
      <color theme="7" tint="-0.499984740745262"/>
      <name val="Calibri"/>
      <family val="2"/>
      <scheme val="minor"/>
    </font>
    <font>
      <i/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</cellStyleXfs>
  <cellXfs count="113">
    <xf numFmtId="0" fontId="0" fillId="0" borderId="0" xfId="0"/>
    <xf numFmtId="0" fontId="3" fillId="0" borderId="0" xfId="0" applyFont="1"/>
    <xf numFmtId="0" fontId="2" fillId="2" borderId="0" xfId="0" applyFont="1" applyFill="1"/>
    <xf numFmtId="9" fontId="0" fillId="0" borderId="0" xfId="1" applyFont="1"/>
    <xf numFmtId="3" fontId="0" fillId="0" borderId="0" xfId="0" applyNumberFormat="1"/>
    <xf numFmtId="3" fontId="0" fillId="0" borderId="2" xfId="0" applyNumberFormat="1" applyBorder="1"/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3" fontId="4" fillId="0" borderId="1" xfId="0" applyNumberFormat="1" applyFont="1" applyBorder="1" applyAlignment="1">
      <alignment horizontal="right"/>
    </xf>
    <xf numFmtId="3" fontId="0" fillId="0" borderId="1" xfId="0" applyNumberFormat="1" applyBorder="1"/>
    <xf numFmtId="0" fontId="0" fillId="0" borderId="0" xfId="0" applyAlignment="1">
      <alignment wrapText="1"/>
    </xf>
    <xf numFmtId="0" fontId="5" fillId="0" borderId="0" xfId="0" applyFont="1"/>
    <xf numFmtId="0" fontId="0" fillId="0" borderId="0" xfId="0" applyNumberFormat="1"/>
    <xf numFmtId="3" fontId="0" fillId="0" borderId="0" xfId="1" applyNumberFormat="1" applyFont="1" applyAlignment="1">
      <alignment horizontal="center"/>
    </xf>
    <xf numFmtId="0" fontId="0" fillId="0" borderId="0" xfId="0" applyAlignment="1">
      <alignment horizontal="left" indent="1"/>
    </xf>
    <xf numFmtId="0" fontId="4" fillId="0" borderId="1" xfId="0" applyFont="1" applyBorder="1"/>
    <xf numFmtId="9" fontId="0" fillId="0" borderId="0" xfId="1" applyFont="1" applyAlignment="1">
      <alignment horizontal="left" indent="1"/>
    </xf>
    <xf numFmtId="0" fontId="6" fillId="0" borderId="0" xfId="0" applyFont="1"/>
    <xf numFmtId="3" fontId="6" fillId="0" borderId="0" xfId="0" applyNumberFormat="1" applyFont="1"/>
    <xf numFmtId="0" fontId="7" fillId="0" borderId="1" xfId="0" applyFont="1" applyBorder="1"/>
    <xf numFmtId="3" fontId="7" fillId="0" borderId="0" xfId="0" applyNumberFormat="1" applyFont="1"/>
    <xf numFmtId="3" fontId="6" fillId="0" borderId="1" xfId="0" applyNumberFormat="1" applyFont="1" applyBorder="1"/>
    <xf numFmtId="0" fontId="0" fillId="0" borderId="0" xfId="0" applyBorder="1"/>
    <xf numFmtId="0" fontId="6" fillId="0" borderId="0" xfId="0" applyFont="1" applyBorder="1"/>
    <xf numFmtId="3" fontId="6" fillId="0" borderId="0" xfId="0" applyNumberFormat="1" applyFont="1" applyBorder="1"/>
    <xf numFmtId="3" fontId="0" fillId="0" borderId="0" xfId="0" applyNumberFormat="1" applyBorder="1"/>
    <xf numFmtId="0" fontId="2" fillId="2" borderId="0" xfId="0" applyFont="1" applyFill="1" applyAlignment="1">
      <alignment horizontal="left"/>
    </xf>
    <xf numFmtId="0" fontId="8" fillId="3" borderId="0" xfId="0" applyFont="1" applyFill="1"/>
    <xf numFmtId="4" fontId="0" fillId="0" borderId="0" xfId="0" applyNumberFormat="1"/>
    <xf numFmtId="0" fontId="0" fillId="0" borderId="0" xfId="0" applyFill="1" applyBorder="1"/>
    <xf numFmtId="0" fontId="5" fillId="0" borderId="0" xfId="0" applyFont="1" applyAlignment="1">
      <alignment horizontal="left" wrapText="1" indent="1"/>
    </xf>
    <xf numFmtId="164" fontId="0" fillId="0" borderId="0" xfId="1" applyNumberFormat="1" applyFont="1"/>
    <xf numFmtId="0" fontId="0" fillId="3" borderId="0" xfId="0" applyFill="1" applyAlignment="1"/>
    <xf numFmtId="0" fontId="8" fillId="3" borderId="0" xfId="0" applyFont="1" applyFill="1" applyBorder="1"/>
    <xf numFmtId="0" fontId="8" fillId="3" borderId="0" xfId="0" quotePrefix="1" applyFont="1" applyFill="1"/>
    <xf numFmtId="0" fontId="9" fillId="0" borderId="0" xfId="0" applyFont="1" applyAlignment="1">
      <alignment horizontal="left" indent="1"/>
    </xf>
    <xf numFmtId="0" fontId="9" fillId="0" borderId="0" xfId="0" applyFont="1" applyBorder="1"/>
    <xf numFmtId="3" fontId="9" fillId="0" borderId="0" xfId="0" applyNumberFormat="1" applyFont="1" applyBorder="1"/>
    <xf numFmtId="0" fontId="9" fillId="0" borderId="0" xfId="0" applyFont="1"/>
    <xf numFmtId="164" fontId="9" fillId="0" borderId="0" xfId="1" applyNumberFormat="1" applyFont="1" applyBorder="1"/>
    <xf numFmtId="164" fontId="9" fillId="0" borderId="0" xfId="0" applyNumberFormat="1" applyFont="1" applyBorder="1"/>
    <xf numFmtId="3" fontId="9" fillId="0" borderId="0" xfId="0" applyNumberFormat="1" applyFont="1"/>
    <xf numFmtId="0" fontId="8" fillId="3" borderId="0" xfId="0" applyFont="1" applyFill="1" applyBorder="1" applyAlignment="1">
      <alignment horizontal="center"/>
    </xf>
    <xf numFmtId="4" fontId="9" fillId="0" borderId="0" xfId="0" applyNumberFormat="1" applyFont="1" applyBorder="1"/>
    <xf numFmtId="0" fontId="9" fillId="0" borderId="1" xfId="0" applyFont="1" applyBorder="1" applyAlignment="1">
      <alignment horizontal="left" indent="1"/>
    </xf>
    <xf numFmtId="4" fontId="9" fillId="0" borderId="1" xfId="0" applyNumberFormat="1" applyFont="1" applyBorder="1"/>
    <xf numFmtId="0" fontId="9" fillId="0" borderId="0" xfId="0" applyFont="1" applyBorder="1" applyAlignment="1">
      <alignment horizontal="left" indent="1"/>
    </xf>
    <xf numFmtId="0" fontId="11" fillId="0" borderId="0" xfId="0" applyFont="1" applyBorder="1"/>
    <xf numFmtId="164" fontId="9" fillId="4" borderId="0" xfId="1" applyNumberFormat="1" applyFont="1" applyFill="1" applyBorder="1"/>
    <xf numFmtId="0" fontId="12" fillId="4" borderId="4" xfId="0" applyFont="1" applyFill="1" applyBorder="1"/>
    <xf numFmtId="0" fontId="12" fillId="4" borderId="5" xfId="0" applyFont="1" applyFill="1" applyBorder="1"/>
    <xf numFmtId="10" fontId="12" fillId="4" borderId="5" xfId="1" applyNumberFormat="1" applyFont="1" applyFill="1" applyBorder="1"/>
    <xf numFmtId="10" fontId="12" fillId="4" borderId="6" xfId="1" applyNumberFormat="1" applyFont="1" applyFill="1" applyBorder="1"/>
    <xf numFmtId="0" fontId="13" fillId="0" borderId="0" xfId="0" applyFont="1" applyBorder="1"/>
    <xf numFmtId="3" fontId="0" fillId="4" borderId="0" xfId="0" applyNumberFormat="1" applyFill="1"/>
    <xf numFmtId="9" fontId="14" fillId="0" borderId="0" xfId="1" applyFont="1" applyAlignment="1">
      <alignment horizontal="right"/>
    </xf>
    <xf numFmtId="9" fontId="15" fillId="0" borderId="0" xfId="1" applyFont="1" applyAlignment="1">
      <alignment horizontal="right"/>
    </xf>
    <xf numFmtId="0" fontId="15" fillId="0" borderId="0" xfId="0" applyFont="1" applyAlignment="1">
      <alignment horizontal="right"/>
    </xf>
    <xf numFmtId="0" fontId="9" fillId="5" borderId="0" xfId="0" applyFont="1" applyFill="1" applyAlignment="1">
      <alignment horizontal="left" indent="1"/>
    </xf>
    <xf numFmtId="0" fontId="9" fillId="5" borderId="0" xfId="0" applyFont="1" applyFill="1" applyBorder="1"/>
    <xf numFmtId="0" fontId="9" fillId="5" borderId="3" xfId="0" applyFont="1" applyFill="1" applyBorder="1"/>
    <xf numFmtId="3" fontId="16" fillId="3" borderId="0" xfId="0" applyNumberFormat="1" applyFont="1" applyFill="1" applyAlignment="1">
      <alignment horizontal="left" vertical="center"/>
    </xf>
    <xf numFmtId="0" fontId="0" fillId="0" borderId="7" xfId="0" applyBorder="1" applyAlignment="1">
      <alignment horizontal="left" indent="1"/>
    </xf>
    <xf numFmtId="0" fontId="0" fillId="0" borderId="8" xfId="0" applyBorder="1" applyAlignment="1">
      <alignment horizontal="left" indent="1"/>
    </xf>
    <xf numFmtId="0" fontId="0" fillId="0" borderId="9" xfId="0" applyBorder="1" applyAlignment="1">
      <alignment horizontal="left" indent="1"/>
    </xf>
    <xf numFmtId="49" fontId="0" fillId="0" borderId="0" xfId="0" applyNumberFormat="1" applyAlignment="1">
      <alignment horizontal="left" indent="1"/>
    </xf>
    <xf numFmtId="3" fontId="16" fillId="3" borderId="0" xfId="0" applyNumberFormat="1" applyFont="1" applyFill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3" fontId="0" fillId="0" borderId="7" xfId="0" applyNumberFormat="1" applyBorder="1"/>
    <xf numFmtId="9" fontId="17" fillId="0" borderId="7" xfId="1" applyFont="1" applyBorder="1" applyAlignment="1">
      <alignment horizontal="right" indent="1"/>
    </xf>
    <xf numFmtId="3" fontId="0" fillId="0" borderId="8" xfId="0" applyNumberFormat="1" applyBorder="1"/>
    <xf numFmtId="3" fontId="18" fillId="2" borderId="0" xfId="0" applyNumberFormat="1" applyFont="1" applyFill="1" applyAlignment="1">
      <alignment horizontal="left"/>
    </xf>
    <xf numFmtId="3" fontId="0" fillId="0" borderId="9" xfId="0" applyNumberFormat="1" applyBorder="1"/>
    <xf numFmtId="9" fontId="17" fillId="0" borderId="9" xfId="1" applyFont="1" applyBorder="1" applyAlignment="1">
      <alignment horizontal="right" indent="1"/>
    </xf>
    <xf numFmtId="9" fontId="17" fillId="0" borderId="0" xfId="1" applyFont="1" applyBorder="1" applyAlignment="1">
      <alignment horizontal="right" indent="1"/>
    </xf>
    <xf numFmtId="0" fontId="0" fillId="0" borderId="0" xfId="0" applyFill="1" applyBorder="1" applyAlignment="1">
      <alignment horizontal="left" indent="1"/>
    </xf>
    <xf numFmtId="9" fontId="0" fillId="0" borderId="0" xfId="0" applyNumberFormat="1"/>
    <xf numFmtId="9" fontId="17" fillId="0" borderId="0" xfId="1" applyFont="1" applyFill="1" applyBorder="1" applyAlignment="1">
      <alignment horizontal="right" indent="1"/>
    </xf>
    <xf numFmtId="0" fontId="0" fillId="0" borderId="10" xfId="0" applyBorder="1"/>
    <xf numFmtId="0" fontId="20" fillId="0" borderId="0" xfId="2"/>
    <xf numFmtId="0" fontId="20" fillId="6" borderId="0" xfId="2" applyFill="1"/>
    <xf numFmtId="0" fontId="20" fillId="0" borderId="11" xfId="2" applyBorder="1"/>
    <xf numFmtId="0" fontId="20" fillId="0" borderId="11" xfId="2" applyBorder="1" applyAlignment="1">
      <alignment horizontal="right"/>
    </xf>
    <xf numFmtId="0" fontId="20" fillId="0" borderId="0" xfId="2" applyAlignment="1">
      <alignment horizontal="right"/>
    </xf>
    <xf numFmtId="9" fontId="0" fillId="0" borderId="0" xfId="3" applyFont="1"/>
    <xf numFmtId="0" fontId="21" fillId="6" borderId="0" xfId="2" applyFont="1" applyFill="1"/>
    <xf numFmtId="0" fontId="0" fillId="0" borderId="0" xfId="0" quotePrefix="1" applyBorder="1" applyAlignment="1">
      <alignment horizontal="right"/>
    </xf>
    <xf numFmtId="164" fontId="10" fillId="0" borderId="0" xfId="0" applyNumberFormat="1" applyFont="1" applyBorder="1"/>
    <xf numFmtId="164" fontId="10" fillId="0" borderId="0" xfId="0" applyNumberFormat="1" applyFont="1" applyBorder="1" applyAlignment="1">
      <alignment horizontal="center"/>
    </xf>
    <xf numFmtId="3" fontId="0" fillId="7" borderId="0" xfId="0" applyNumberFormat="1" applyFill="1"/>
    <xf numFmtId="164" fontId="0" fillId="0" borderId="0" xfId="1" applyNumberFormat="1" applyFont="1" applyBorder="1"/>
    <xf numFmtId="3" fontId="9" fillId="4" borderId="13" xfId="0" applyNumberFormat="1" applyFont="1" applyFill="1" applyBorder="1"/>
    <xf numFmtId="3" fontId="9" fillId="4" borderId="0" xfId="0" applyNumberFormat="1" applyFont="1" applyFill="1" applyBorder="1"/>
    <xf numFmtId="3" fontId="9" fillId="7" borderId="10" xfId="0" applyNumberFormat="1" applyFont="1" applyFill="1" applyBorder="1"/>
    <xf numFmtId="3" fontId="9" fillId="8" borderId="12" xfId="0" applyNumberFormat="1" applyFont="1" applyFill="1" applyBorder="1"/>
    <xf numFmtId="0" fontId="9" fillId="8" borderId="13" xfId="0" applyFont="1" applyFill="1" applyBorder="1"/>
    <xf numFmtId="3" fontId="9" fillId="8" borderId="15" xfId="0" applyNumberFormat="1" applyFont="1" applyFill="1" applyBorder="1"/>
    <xf numFmtId="0" fontId="9" fillId="8" borderId="0" xfId="0" applyFont="1" applyFill="1" applyBorder="1"/>
    <xf numFmtId="0" fontId="9" fillId="8" borderId="17" xfId="0" applyFont="1" applyFill="1" applyBorder="1"/>
    <xf numFmtId="0" fontId="9" fillId="8" borderId="10" xfId="0" applyFont="1" applyFill="1" applyBorder="1"/>
    <xf numFmtId="3" fontId="9" fillId="8" borderId="14" xfId="0" applyNumberFormat="1" applyFont="1" applyFill="1" applyBorder="1"/>
    <xf numFmtId="3" fontId="9" fillId="8" borderId="16" xfId="0" applyNumberFormat="1" applyFont="1" applyFill="1" applyBorder="1"/>
    <xf numFmtId="0" fontId="16" fillId="0" borderId="0" xfId="0" applyFont="1" applyBorder="1"/>
    <xf numFmtId="3" fontId="9" fillId="8" borderId="18" xfId="0" applyNumberFormat="1" applyFont="1" applyFill="1" applyBorder="1"/>
    <xf numFmtId="164" fontId="9" fillId="0" borderId="0" xfId="0" applyNumberFormat="1" applyFont="1"/>
    <xf numFmtId="0" fontId="5" fillId="0" borderId="0" xfId="0" applyFont="1" applyAlignment="1">
      <alignment horizontal="left" wrapText="1" indent="1"/>
    </xf>
    <xf numFmtId="0" fontId="5" fillId="0" borderId="0" xfId="0" applyFont="1" applyAlignment="1">
      <alignment horizontal="left" wrapText="1"/>
    </xf>
    <xf numFmtId="3" fontId="18" fillId="2" borderId="0" xfId="0" applyNumberFormat="1" applyFont="1" applyFill="1" applyAlignment="1">
      <alignment horizontal="center"/>
    </xf>
    <xf numFmtId="0" fontId="20" fillId="6" borderId="0" xfId="2" applyFill="1" applyAlignment="1">
      <alignment horizontal="center"/>
    </xf>
    <xf numFmtId="0" fontId="21" fillId="6" borderId="0" xfId="2" applyFont="1" applyFill="1" applyAlignment="1">
      <alignment horizontal="center"/>
    </xf>
  </cellXfs>
  <cellStyles count="4">
    <cellStyle name="Normal" xfId="0" builtinId="0"/>
    <cellStyle name="Normal 2" xfId="2" xr:uid="{634DD447-E35B-4E35-8414-0B36E51A40AF}"/>
    <cellStyle name="Percent" xfId="1" builtinId="5"/>
    <cellStyle name="Percent 2" xfId="3" xr:uid="{C8863C03-EAAC-40A5-8AA8-E8F22E8997E2}"/>
  </cellStyles>
  <dxfs count="2">
    <dxf>
      <border diagonalUp="0" diagonalDown="0">
        <left style="thick">
          <color auto="1"/>
        </left>
        <right/>
        <top/>
        <bottom/>
        <vertical/>
        <horizontal/>
      </border>
    </dxf>
    <dxf>
      <border diagonalUp="0" diagonalDown="0">
        <left style="thick">
          <color auto="1"/>
        </left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FF9999"/>
      <color rgb="FF009BC3"/>
      <color rgb="FFA7CEE1"/>
      <color rgb="FF72B7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IBUASPA_OG_IBUDATHÖRF!$B$33</c:f>
              <c:strCache>
                <c:ptCount val="1"/>
                <c:pt idx="0">
                  <c:v>Háspá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IBUASPA_OG_IBUDATHÖRF!$C$32:$W$32</c:f>
              <c:numCache>
                <c:formatCode>General</c:formatCod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numCache>
            </c:numRef>
          </c:cat>
          <c:val>
            <c:numRef>
              <c:f>IBUASPA_OG_IBUDATHÖRF!$C$33:$W$33</c:f>
              <c:numCache>
                <c:formatCode>#,##0</c:formatCode>
                <c:ptCount val="21"/>
                <c:pt idx="15">
                  <c:v>233034</c:v>
                </c:pt>
                <c:pt idx="16">
                  <c:v>236879.06099999999</c:v>
                </c:pt>
                <c:pt idx="17">
                  <c:v>237980.54863365</c:v>
                </c:pt>
                <c:pt idx="18">
                  <c:v>240265.16190053304</c:v>
                </c:pt>
                <c:pt idx="19">
                  <c:v>243833.09955475596</c:v>
                </c:pt>
                <c:pt idx="20">
                  <c:v>249636.32732415915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85-4D93-9601-5B25C9EBA333}"/>
            </c:ext>
          </c:extLst>
        </c:ser>
        <c:ser>
          <c:idx val="1"/>
          <c:order val="1"/>
          <c:tx>
            <c:strRef>
              <c:f>IBUASPA_OG_IBUDATHÖRF!$B$34</c:f>
              <c:strCache>
                <c:ptCount val="1"/>
                <c:pt idx="0">
                  <c:v>Þróun '05-'20 og miðspá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IBUASPA_OG_IBUDATHÖRF!$C$32:$W$32</c:f>
              <c:numCache>
                <c:formatCode>General</c:formatCod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numCache>
            </c:numRef>
          </c:cat>
          <c:val>
            <c:numRef>
              <c:f>IBUASPA_OG_IBUDATHÖRF!$C$34:$W$34</c:f>
              <c:numCache>
                <c:formatCode>#,##0</c:formatCode>
                <c:ptCount val="21"/>
                <c:pt idx="0">
                  <c:v>184244</c:v>
                </c:pt>
                <c:pt idx="1">
                  <c:v>187426</c:v>
                </c:pt>
                <c:pt idx="2">
                  <c:v>191919</c:v>
                </c:pt>
                <c:pt idx="3">
                  <c:v>197945</c:v>
                </c:pt>
                <c:pt idx="4">
                  <c:v>201251</c:v>
                </c:pt>
                <c:pt idx="5">
                  <c:v>200907</c:v>
                </c:pt>
                <c:pt idx="6">
                  <c:v>202341</c:v>
                </c:pt>
                <c:pt idx="7">
                  <c:v>203594</c:v>
                </c:pt>
                <c:pt idx="8">
                  <c:v>205675</c:v>
                </c:pt>
                <c:pt idx="9">
                  <c:v>208752</c:v>
                </c:pt>
                <c:pt idx="10">
                  <c:v>211282</c:v>
                </c:pt>
                <c:pt idx="11">
                  <c:v>213619</c:v>
                </c:pt>
                <c:pt idx="12">
                  <c:v>216878</c:v>
                </c:pt>
                <c:pt idx="13">
                  <c:v>222484</c:v>
                </c:pt>
                <c:pt idx="14">
                  <c:v>228231</c:v>
                </c:pt>
                <c:pt idx="15">
                  <c:v>233034</c:v>
                </c:pt>
                <c:pt idx="16">
                  <c:v>235597.37399999998</c:v>
                </c:pt>
                <c:pt idx="17">
                  <c:v>236304.16612199997</c:v>
                </c:pt>
                <c:pt idx="18">
                  <c:v>237721.99111873197</c:v>
                </c:pt>
                <c:pt idx="19">
                  <c:v>239861.48903880053</c:v>
                </c:pt>
                <c:pt idx="20">
                  <c:v>243219.54988534373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85-4D93-9601-5B25C9EBA333}"/>
            </c:ext>
          </c:extLst>
        </c:ser>
        <c:ser>
          <c:idx val="3"/>
          <c:order val="2"/>
          <c:tx>
            <c:strRef>
              <c:f>IBUASPA_OG_IBUDATHÖRF!$B$35</c:f>
              <c:strCache>
                <c:ptCount val="1"/>
                <c:pt idx="0">
                  <c:v>Lágspá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IBUASPA_OG_IBUDATHÖRF!$C$35:$W$35</c:f>
              <c:numCache>
                <c:formatCode>#,##0</c:formatCode>
                <c:ptCount val="21"/>
                <c:pt idx="15">
                  <c:v>233034</c:v>
                </c:pt>
                <c:pt idx="16">
                  <c:v>234828.36180000001</c:v>
                </c:pt>
                <c:pt idx="17">
                  <c:v>235286.27710551</c:v>
                </c:pt>
                <c:pt idx="18">
                  <c:v>236133.30770308984</c:v>
                </c:pt>
                <c:pt idx="19">
                  <c:v>237302.16757622015</c:v>
                </c:pt>
                <c:pt idx="20">
                  <c:v>238963.28274925367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685-4D93-9601-5B25C9EBA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4099008"/>
        <c:axId val="1400341440"/>
      </c:lineChart>
      <c:catAx>
        <c:axId val="1254099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s-IS"/>
          </a:p>
        </c:txPr>
        <c:crossAx val="1400341440"/>
        <c:crosses val="autoZero"/>
        <c:auto val="1"/>
        <c:lblAlgn val="ctr"/>
        <c:lblOffset val="100"/>
        <c:noMultiLvlLbl val="0"/>
      </c:catAx>
      <c:valAx>
        <c:axId val="1400341440"/>
        <c:scaling>
          <c:orientation val="minMax"/>
          <c:min val="18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s-IS"/>
          </a:p>
        </c:txPr>
        <c:crossAx val="1254099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s-I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is-I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s-IS"/>
        </a:p>
      </c:txPr>
    </c:title>
    <c:autoTitleDeleted val="0"/>
    <c:plotArea>
      <c:layout>
        <c:manualLayout>
          <c:layoutTarget val="inner"/>
          <c:xMode val="edge"/>
          <c:yMode val="edge"/>
          <c:x val="0.16987108408537568"/>
          <c:y val="0.19163021289005541"/>
          <c:w val="0.65524680275115321"/>
          <c:h val="0.60532699037620297"/>
        </c:manualLayout>
      </c:layout>
      <c:pieChart>
        <c:varyColors val="1"/>
        <c:ser>
          <c:idx val="0"/>
          <c:order val="0"/>
          <c:tx>
            <c:strRef>
              <c:f>'SAMGÖNGUM SVÆDI'!$H$12</c:f>
              <c:strCache>
                <c:ptCount val="1"/>
                <c:pt idx="0">
                  <c:v>Höfuðborgarsvæðið - íbúðabyggð 2020-2024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0C1-46C7-8D87-0DD8FAA0B38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0C1-46C7-8D87-0DD8FAA0B38E}"/>
              </c:ext>
            </c:extLst>
          </c:dPt>
          <c:dLbls>
            <c:dLbl>
              <c:idx val="0"/>
              <c:layout>
                <c:manualLayout>
                  <c:x val="-0.23695964422837887"/>
                  <c:y val="-8.92523330417031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C1-46C7-8D87-0DD8FAA0B38E}"/>
                </c:ext>
              </c:extLst>
            </c:dLbl>
            <c:dLbl>
              <c:idx val="1"/>
              <c:layout>
                <c:manualLayout>
                  <c:x val="0.22232727358821883"/>
                  <c:y val="7.90919364246135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0C1-46C7-8D87-0DD8FAA0B38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is-I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'SAMGÖNGUM SVÆDI'!$I$5:$J$5</c:f>
              <c:strCache>
                <c:ptCount val="2"/>
                <c:pt idx="0">
                  <c:v>Innan áhrifasvæðis</c:v>
                </c:pt>
                <c:pt idx="1">
                  <c:v>Utan áhrifasvæðis</c:v>
                </c:pt>
              </c:strCache>
            </c:strRef>
          </c:cat>
          <c:val>
            <c:numRef>
              <c:f>'SAMGÖNGUM SVÆDI'!$I$12:$J$12</c:f>
              <c:numCache>
                <c:formatCode>0%</c:formatCode>
                <c:ptCount val="2"/>
                <c:pt idx="0">
                  <c:v>0.65575489282385835</c:v>
                </c:pt>
                <c:pt idx="1">
                  <c:v>0.34424510717614165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B1-4ACB-941A-ECD2946F2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s-I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s-I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s-I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'SAMGÖNGUM SVÆDI'!$H$13</c:f>
              <c:strCache>
                <c:ptCount val="1"/>
                <c:pt idx="0">
                  <c:v>Höfuðborgarsvæðið - markmið 2040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EB8-48E0-8E17-C37AC17D645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EB8-48E0-8E17-C37AC17D645C}"/>
              </c:ext>
            </c:extLst>
          </c:dPt>
          <c:dLbls>
            <c:dLbl>
              <c:idx val="0"/>
              <c:layout>
                <c:manualLayout>
                  <c:x val="-0.25393823485470379"/>
                  <c:y val="-0.102154418197725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B8-48E0-8E17-C37AC17D645C}"/>
                </c:ext>
              </c:extLst>
            </c:dLbl>
            <c:dLbl>
              <c:idx val="1"/>
              <c:layout>
                <c:manualLayout>
                  <c:x val="0.22494425586397787"/>
                  <c:y val="9.17851414406532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B8-48E0-8E17-C37AC17D64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is-I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'SAMGÖNGUM SVÆDI'!$I$5:$J$5</c:f>
              <c:strCache>
                <c:ptCount val="2"/>
                <c:pt idx="0">
                  <c:v>Innan áhrifasvæðis</c:v>
                </c:pt>
                <c:pt idx="1">
                  <c:v>Utan áhrifasvæðis</c:v>
                </c:pt>
              </c:strCache>
            </c:strRef>
          </c:cat>
          <c:val>
            <c:numRef>
              <c:f>'SAMGÖNGUM SVÆDI'!$I$13:$J$13</c:f>
              <c:numCache>
                <c:formatCode>0%</c:formatCode>
                <c:ptCount val="2"/>
                <c:pt idx="0">
                  <c:v>0.66</c:v>
                </c:pt>
                <c:pt idx="1">
                  <c:v>0.33999999999999997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C6-4EB7-A6B0-6407D68C3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s-I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s-I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s-I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'SAMGÖNGUM SVÆDI'!$H$43</c:f>
              <c:strCache>
                <c:ptCount val="1"/>
                <c:pt idx="0">
                  <c:v>Höfuðborgarsvæðið - atvinnubyggð 2020-2024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A3A-4A1D-8CA0-150C28126FD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A3A-4A1D-8CA0-150C28126FD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is-I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'SAMGÖNGUM SVÆDI'!$I$36:$J$36</c:f>
              <c:strCache>
                <c:ptCount val="2"/>
                <c:pt idx="0">
                  <c:v>Innan áhrifasvæðis</c:v>
                </c:pt>
                <c:pt idx="1">
                  <c:v>Utan áhrifasvæðis</c:v>
                </c:pt>
              </c:strCache>
            </c:strRef>
          </c:cat>
          <c:val>
            <c:numRef>
              <c:f>'SAMGÖNGUM SVÆDI'!$I$43:$J$43</c:f>
              <c:numCache>
                <c:formatCode>0%</c:formatCode>
                <c:ptCount val="2"/>
                <c:pt idx="0">
                  <c:v>0.63582803907405661</c:v>
                </c:pt>
                <c:pt idx="1">
                  <c:v>0.36417196092594339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C9-4523-89CB-29F52AC99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s-I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s-I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s-I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'SAMGÖNGUM SVÆDI'!$H$38</c:f>
              <c:strCache>
                <c:ptCount val="1"/>
                <c:pt idx="0">
                  <c:v>Kópavogur - atvinnubyggð 2020-2024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DA7-44BD-AEA8-523879B1C49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DA7-44BD-AEA8-523879B1C49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is-I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'SAMGÖNGUM SVÆDI'!$I$36:$J$36</c:f>
              <c:strCache>
                <c:ptCount val="2"/>
                <c:pt idx="0">
                  <c:v>Innan áhrifasvæðis</c:v>
                </c:pt>
                <c:pt idx="1">
                  <c:v>Utan áhrifasvæðis</c:v>
                </c:pt>
              </c:strCache>
            </c:strRef>
          </c:cat>
          <c:val>
            <c:numRef>
              <c:f>'SAMGÖNGUM SVÆDI'!$I$38:$J$38</c:f>
              <c:numCache>
                <c:formatCode>0%</c:formatCode>
                <c:ptCount val="2"/>
                <c:pt idx="0">
                  <c:v>0.54573991031390134</c:v>
                </c:pt>
                <c:pt idx="1">
                  <c:v>0.45426008968609866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B2-42A2-999A-B50D0CD11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s-I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s-I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s-I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'SAMGÖNGUM SVÆDI'!$H$41</c:f>
              <c:strCache>
                <c:ptCount val="1"/>
                <c:pt idx="0">
                  <c:v>Hafnarfjörður - atvinnubyggð 2020-2024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FE1-4E07-99B5-9CA7AAD037F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FE1-4E07-99B5-9CA7AAD037F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is-I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'SAMGÖNGUM SVÆDI'!$I$36:$J$36</c:f>
              <c:strCache>
                <c:ptCount val="2"/>
                <c:pt idx="0">
                  <c:v>Innan áhrifasvæðis</c:v>
                </c:pt>
                <c:pt idx="1">
                  <c:v>Utan áhrifasvæðis</c:v>
                </c:pt>
              </c:strCache>
            </c:strRef>
          </c:cat>
          <c:val>
            <c:numRef>
              <c:f>'SAMGÖNGUM SVÆDI'!$I$41:$J$41</c:f>
              <c:numCache>
                <c:formatCode>0%</c:formatCode>
                <c:ptCount val="2"/>
                <c:pt idx="0">
                  <c:v>0.3128030303030303</c:v>
                </c:pt>
                <c:pt idx="1">
                  <c:v>0.68719696969696975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2F-417E-8B50-19CB4475A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s-I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s-I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s-I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'SAMGÖNGUM SVÆDI'!$H$42</c:f>
              <c:strCache>
                <c:ptCount val="1"/>
                <c:pt idx="0">
                  <c:v>Mosfellsbær - atvinnubyggð 2020-2024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517-4EB6-BABC-17E620D4F93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517-4EB6-BABC-17E620D4F93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is-I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'SAMGÖNGUM SVÆDI'!$I$36:$J$36</c:f>
              <c:strCache>
                <c:ptCount val="2"/>
                <c:pt idx="0">
                  <c:v>Innan áhrifasvæðis</c:v>
                </c:pt>
                <c:pt idx="1">
                  <c:v>Utan áhrifasvæðis</c:v>
                </c:pt>
              </c:strCache>
            </c:strRef>
          </c:cat>
          <c:val>
            <c:numRef>
              <c:f>'SAMGÖNGUM SVÆDI'!$I$42:$J$42</c:f>
              <c:numCache>
                <c:formatCode>0%</c:formatCode>
                <c:ptCount val="2"/>
                <c:pt idx="0">
                  <c:v>0.46770588995807399</c:v>
                </c:pt>
                <c:pt idx="1">
                  <c:v>0.53229411004192606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D4-43BC-B7F5-EF8ECD49C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s-I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s-I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s-I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'SAMGÖNGUM SVÆDI'!$H$40</c:f>
              <c:strCache>
                <c:ptCount val="1"/>
                <c:pt idx="0">
                  <c:v>Garðabær - atvinnubyggð 2020-2024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3BC-4257-8526-E0C6B606E46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3BC-4257-8526-E0C6B606E46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is-I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'SAMGÖNGUM SVÆDI'!$I$36:$J$36</c:f>
              <c:strCache>
                <c:ptCount val="2"/>
                <c:pt idx="0">
                  <c:v>Innan áhrifasvæðis</c:v>
                </c:pt>
                <c:pt idx="1">
                  <c:v>Utan áhrifasvæðis</c:v>
                </c:pt>
              </c:strCache>
            </c:strRef>
          </c:cat>
          <c:val>
            <c:numRef>
              <c:f>'SAMGÖNGUM SVÆDI'!$I$40:$J$40</c:f>
              <c:numCache>
                <c:formatCode>0%</c:formatCode>
                <c:ptCount val="2"/>
                <c:pt idx="0">
                  <c:v>0.91121405750798723</c:v>
                </c:pt>
                <c:pt idx="1">
                  <c:v>8.878594249201277E-2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14-46F8-9BC3-BDE1F4C48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s-I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s-I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s-I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'SAMGÖNGUM SVÆDI'!$H$14</c:f>
              <c:strCache>
                <c:ptCount val="1"/>
                <c:pt idx="0">
                  <c:v>Höfuðborgarsvæðið - "staðan" 2015 (m/fyrirvara)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65F-45B9-B1EC-452EE398325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65F-45B9-B1EC-452EE3983257}"/>
              </c:ext>
            </c:extLst>
          </c:dPt>
          <c:dLbls>
            <c:dLbl>
              <c:idx val="0"/>
              <c:layout>
                <c:manualLayout>
                  <c:x val="-0.20530171918082954"/>
                  <c:y val="0.1235305482648002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5F-45B9-B1EC-452EE3983257}"/>
                </c:ext>
              </c:extLst>
            </c:dLbl>
            <c:dLbl>
              <c:idx val="1"/>
              <c:layout>
                <c:manualLayout>
                  <c:x val="0.21674970116795944"/>
                  <c:y val="-0.13389982502187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65F-45B9-B1EC-452EE39832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is-I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'SAMGÖNGUM SVÆDI'!$I$5:$J$5</c:f>
              <c:strCache>
                <c:ptCount val="2"/>
                <c:pt idx="0">
                  <c:v>Innan áhrifasvæðis</c:v>
                </c:pt>
                <c:pt idx="1">
                  <c:v>Utan áhrifasvæðis</c:v>
                </c:pt>
              </c:strCache>
            </c:strRef>
          </c:cat>
          <c:val>
            <c:numRef>
              <c:f>'SAMGÖNGUM SVÆDI'!$I$14:$J$14</c:f>
              <c:numCache>
                <c:formatCode>0%</c:formatCode>
                <c:ptCount val="2"/>
                <c:pt idx="0">
                  <c:v>0.3</c:v>
                </c:pt>
                <c:pt idx="1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65F-45B9-B1EC-452EE3983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s-I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s-I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s-I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'SAMGÖNGUM SVÆDI'!$H$37</c:f>
              <c:strCache>
                <c:ptCount val="1"/>
                <c:pt idx="0">
                  <c:v>Reykjavík - atvinnubyggð 2020-2024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E34-4582-8D0B-10BB5006033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E34-4582-8D0B-10BB5006033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is-I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'SAMGÖNGUM SVÆDI'!$I$36:$J$36</c:f>
              <c:strCache>
                <c:ptCount val="2"/>
                <c:pt idx="0">
                  <c:v>Innan áhrifasvæðis</c:v>
                </c:pt>
                <c:pt idx="1">
                  <c:v>Utan áhrifasvæðis</c:v>
                </c:pt>
              </c:strCache>
            </c:strRef>
          </c:cat>
          <c:val>
            <c:numRef>
              <c:f>'SAMGÖNGUM SVÆDI'!$I$37:$J$37</c:f>
              <c:numCache>
                <c:formatCode>0%</c:formatCode>
                <c:ptCount val="2"/>
                <c:pt idx="0">
                  <c:v>0.72755674376319401</c:v>
                </c:pt>
                <c:pt idx="1">
                  <c:v>0.27244325623680599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E34-4582-8D0B-10BB50060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s-I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s-I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s-IS"/>
              <a:t>Mannfjöldaspá</a:t>
            </a:r>
            <a:r>
              <a:rPr lang="is-IS" baseline="0"/>
              <a:t> HMS og Hagstofunnar</a:t>
            </a:r>
            <a:endParaRPr lang="is-I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s-I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Lágspá</c:v>
          </c:tx>
          <c:spPr>
            <a:ln w="28575" cap="rnd">
              <a:solidFill>
                <a:srgbClr val="A7CEE1"/>
              </a:solidFill>
              <a:round/>
            </a:ln>
            <a:effectLst/>
          </c:spPr>
          <c:marker>
            <c:symbol val="none"/>
          </c:marker>
          <c:cat>
            <c:numRef>
              <c:f>'Spá um íbúafjölgun skv HMS'!$X$4:$AM$4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'Spá um íbúafjölgun skv HMS'!$X$5:$AM$5</c:f>
              <c:numCache>
                <c:formatCode>#,##0</c:formatCode>
                <c:ptCount val="16"/>
                <c:pt idx="0">
                  <c:v>211282</c:v>
                </c:pt>
                <c:pt idx="1">
                  <c:v>213619</c:v>
                </c:pt>
                <c:pt idx="2">
                  <c:v>216878</c:v>
                </c:pt>
                <c:pt idx="3">
                  <c:v>222484</c:v>
                </c:pt>
                <c:pt idx="4">
                  <c:v>228231</c:v>
                </c:pt>
                <c:pt idx="5">
                  <c:v>233034</c:v>
                </c:pt>
                <c:pt idx="6">
                  <c:v>236168.57452153976</c:v>
                </c:pt>
                <c:pt idx="7">
                  <c:v>239507.56100722839</c:v>
                </c:pt>
                <c:pt idx="8">
                  <c:v>242539.13146555284</c:v>
                </c:pt>
                <c:pt idx="9">
                  <c:v>245262.65360936403</c:v>
                </c:pt>
                <c:pt idx="10">
                  <c:v>244318.84442548556</c:v>
                </c:pt>
                <c:pt idx="11">
                  <c:v>243171.16852125933</c:v>
                </c:pt>
                <c:pt idx="12">
                  <c:v>241816.70766049641</c:v>
                </c:pt>
                <c:pt idx="13">
                  <c:v>240254.00842378678</c:v>
                </c:pt>
                <c:pt idx="14">
                  <c:v>238300.04226005578</c:v>
                </c:pt>
                <c:pt idx="15">
                  <c:v>239991.41208383846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5F-4ED5-B2CC-8F4582032CA7}"/>
            </c:ext>
          </c:extLst>
        </c:ser>
        <c:ser>
          <c:idx val="1"/>
          <c:order val="1"/>
          <c:tx>
            <c:v>Miðspá</c:v>
          </c:tx>
          <c:spPr>
            <a:ln w="28575" cap="rnd">
              <a:solidFill>
                <a:srgbClr val="72B7D3"/>
              </a:solidFill>
              <a:round/>
            </a:ln>
            <a:effectLst/>
          </c:spPr>
          <c:marker>
            <c:symbol val="none"/>
          </c:marker>
          <c:cat>
            <c:numRef>
              <c:f>'Spá um íbúafjölgun skv HMS'!$X$4:$AM$4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'Spá um íbúafjölgun skv HMS'!$X$6:$AM$6</c:f>
              <c:numCache>
                <c:formatCode>#,##0</c:formatCode>
                <c:ptCount val="16"/>
                <c:pt idx="0">
                  <c:v>211282</c:v>
                </c:pt>
                <c:pt idx="1">
                  <c:v>213619</c:v>
                </c:pt>
                <c:pt idx="2">
                  <c:v>216878</c:v>
                </c:pt>
                <c:pt idx="3">
                  <c:v>222484</c:v>
                </c:pt>
                <c:pt idx="4">
                  <c:v>228231</c:v>
                </c:pt>
                <c:pt idx="5">
                  <c:v>233034</c:v>
                </c:pt>
                <c:pt idx="6">
                  <c:v>237692.10538858149</c:v>
                </c:pt>
                <c:pt idx="7">
                  <c:v>242445.06345860634</c:v>
                </c:pt>
                <c:pt idx="8">
                  <c:v>247098.00700536137</c:v>
                </c:pt>
                <c:pt idx="9">
                  <c:v>252102.68910265627</c:v>
                </c:pt>
                <c:pt idx="10">
                  <c:v>251960.6548092248</c:v>
                </c:pt>
                <c:pt idx="11">
                  <c:v>251625.97654951137</c:v>
                </c:pt>
                <c:pt idx="12">
                  <c:v>251083.60556170146</c:v>
                </c:pt>
                <c:pt idx="13">
                  <c:v>250331.54551248229</c:v>
                </c:pt>
                <c:pt idx="14">
                  <c:v>249195.3161219591</c:v>
                </c:pt>
                <c:pt idx="15">
                  <c:v>251739.43291984216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5F-4ED5-B2CC-8F4582032CA7}"/>
            </c:ext>
          </c:extLst>
        </c:ser>
        <c:ser>
          <c:idx val="2"/>
          <c:order val="2"/>
          <c:tx>
            <c:v>Háspá</c:v>
          </c:tx>
          <c:spPr>
            <a:ln w="28575" cap="rnd">
              <a:solidFill>
                <a:srgbClr val="009BC3"/>
              </a:solidFill>
              <a:round/>
            </a:ln>
            <a:effectLst/>
          </c:spPr>
          <c:marker>
            <c:symbol val="none"/>
          </c:marker>
          <c:cat>
            <c:numRef>
              <c:f>'Spá um íbúafjölgun skv HMS'!$X$4:$AM$4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'Spá um íbúafjölgun skv HMS'!$X$7:$AM$7</c:f>
              <c:numCache>
                <c:formatCode>#,##0</c:formatCode>
                <c:ptCount val="16"/>
                <c:pt idx="0">
                  <c:v>211282</c:v>
                </c:pt>
                <c:pt idx="1">
                  <c:v>213619</c:v>
                </c:pt>
                <c:pt idx="2">
                  <c:v>216878</c:v>
                </c:pt>
                <c:pt idx="3">
                  <c:v>222484</c:v>
                </c:pt>
                <c:pt idx="4">
                  <c:v>228231</c:v>
                </c:pt>
                <c:pt idx="5">
                  <c:v>233034</c:v>
                </c:pt>
                <c:pt idx="6">
                  <c:v>239415.08535913544</c:v>
                </c:pt>
                <c:pt idx="7">
                  <c:v>245385.913231279</c:v>
                </c:pt>
                <c:pt idx="8">
                  <c:v>251581.9190095884</c:v>
                </c:pt>
                <c:pt idx="9">
                  <c:v>258569.80501798278</c:v>
                </c:pt>
                <c:pt idx="10">
                  <c:v>259238.12589125213</c:v>
                </c:pt>
                <c:pt idx="11">
                  <c:v>259712.90147213376</c:v>
                </c:pt>
                <c:pt idx="12">
                  <c:v>259989.62629058995</c:v>
                </c:pt>
                <c:pt idx="13">
                  <c:v>260074.36604253048</c:v>
                </c:pt>
                <c:pt idx="14">
                  <c:v>259777.28061484333</c:v>
                </c:pt>
                <c:pt idx="15">
                  <c:v>263200.3869203183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5F-4ED5-B2CC-8F4582032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079488"/>
        <c:axId val="79119344"/>
      </c:lineChart>
      <c:catAx>
        <c:axId val="15907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s-IS"/>
          </a:p>
        </c:txPr>
        <c:crossAx val="79119344"/>
        <c:crosses val="autoZero"/>
        <c:auto val="1"/>
        <c:lblAlgn val="ctr"/>
        <c:lblOffset val="100"/>
        <c:noMultiLvlLbl val="0"/>
      </c:catAx>
      <c:valAx>
        <c:axId val="79119344"/>
        <c:scaling>
          <c:orientation val="minMax"/>
          <c:min val="1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s-IS"/>
          </a:p>
        </c:txPr>
        <c:crossAx val="15907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s-I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s-I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Spá um</a:t>
            </a:r>
            <a:r>
              <a:rPr lang="en-US" baseline="0"/>
              <a:t> íbúafjölgun til ársloka 2024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s-I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IBUASPA_OG_IBUDATHÖRF!$B$33</c:f>
              <c:strCache>
                <c:ptCount val="1"/>
                <c:pt idx="0">
                  <c:v>Háspá</c:v>
                </c:pt>
              </c:strCache>
            </c:strRef>
          </c:tx>
          <c:spPr>
            <a:ln w="3810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IBUASPA_OG_IBUDATHÖRF!$C$32:$W$32</c15:sqref>
                  </c15:fullRef>
                </c:ext>
              </c:extLst>
              <c:f>IBUASPA_OG_IBUDATHÖRF!$N$32:$W$32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IBUASPA_OG_IBUDATHÖRF!$C$33:$W$33</c15:sqref>
                  </c15:fullRef>
                </c:ext>
              </c:extLst>
              <c:f>IBUASPA_OG_IBUDATHÖRF!$N$33:$W$33</c:f>
              <c:numCache>
                <c:formatCode>#,##0</c:formatCode>
                <c:ptCount val="10"/>
                <c:pt idx="4">
                  <c:v>233034</c:v>
                </c:pt>
                <c:pt idx="5">
                  <c:v>236879.06099999999</c:v>
                </c:pt>
                <c:pt idx="6">
                  <c:v>237980.54863365</c:v>
                </c:pt>
                <c:pt idx="7">
                  <c:v>240265.16190053304</c:v>
                </c:pt>
                <c:pt idx="8">
                  <c:v>243833.09955475596</c:v>
                </c:pt>
                <c:pt idx="9">
                  <c:v>249636.32732415915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53-4AC1-ABF8-DB4FCE912689}"/>
            </c:ext>
          </c:extLst>
        </c:ser>
        <c:ser>
          <c:idx val="1"/>
          <c:order val="1"/>
          <c:tx>
            <c:strRef>
              <c:f>IBUASPA_OG_IBUDATHÖRF!$B$34</c:f>
              <c:strCache>
                <c:ptCount val="1"/>
                <c:pt idx="0">
                  <c:v>Þróun '05-'20 og miðspá</c:v>
                </c:pt>
              </c:strCache>
            </c:strRef>
          </c:tx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IBUASPA_OG_IBUDATHÖRF!$C$32:$W$32</c15:sqref>
                  </c15:fullRef>
                </c:ext>
              </c:extLst>
              <c:f>IBUASPA_OG_IBUDATHÖRF!$N$32:$W$32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IBUASPA_OG_IBUDATHÖRF!$C$34:$W$34</c15:sqref>
                  </c15:fullRef>
                </c:ext>
              </c:extLst>
              <c:f>IBUASPA_OG_IBUDATHÖRF!$N$34:$W$34</c:f>
              <c:numCache>
                <c:formatCode>#,##0</c:formatCode>
                <c:ptCount val="10"/>
                <c:pt idx="0">
                  <c:v>213619</c:v>
                </c:pt>
                <c:pt idx="1">
                  <c:v>216878</c:v>
                </c:pt>
                <c:pt idx="2">
                  <c:v>222484</c:v>
                </c:pt>
                <c:pt idx="3">
                  <c:v>228231</c:v>
                </c:pt>
                <c:pt idx="4">
                  <c:v>233034</c:v>
                </c:pt>
                <c:pt idx="5">
                  <c:v>235597.37399999998</c:v>
                </c:pt>
                <c:pt idx="6">
                  <c:v>236304.16612199997</c:v>
                </c:pt>
                <c:pt idx="7">
                  <c:v>237721.99111873197</c:v>
                </c:pt>
                <c:pt idx="8">
                  <c:v>239861.48903880053</c:v>
                </c:pt>
                <c:pt idx="9">
                  <c:v>243219.54988534373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53-4AC1-ABF8-DB4FCE912689}"/>
            </c:ext>
          </c:extLst>
        </c:ser>
        <c:ser>
          <c:idx val="3"/>
          <c:order val="2"/>
          <c:tx>
            <c:strRef>
              <c:f>IBUASPA_OG_IBUDATHÖRF!$B$35</c:f>
              <c:strCache>
                <c:ptCount val="1"/>
                <c:pt idx="0">
                  <c:v>Lágspá</c:v>
                </c:pt>
              </c:strCache>
            </c:strRef>
          </c:tx>
          <c:spPr>
            <a:ln w="38100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0"/>
              <c:pt idx="0">
                <c:v>2016</c:v>
              </c:pt>
              <c:pt idx="1">
                <c:v>2017</c:v>
              </c:pt>
              <c:pt idx="2">
                <c:v>2018</c:v>
              </c:pt>
              <c:pt idx="3">
                <c:v>2019</c:v>
              </c:pt>
              <c:pt idx="4">
                <c:v>2020</c:v>
              </c:pt>
              <c:pt idx="5">
                <c:v>2021</c:v>
              </c:pt>
              <c:pt idx="6">
                <c:v>2022</c:v>
              </c:pt>
              <c:pt idx="7">
                <c:v>2023</c:v>
              </c:pt>
              <c:pt idx="8">
                <c:v>2024</c:v>
              </c:pt>
              <c:pt idx="9">
                <c:v>2025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IBUASPA_OG_IBUDATHÖRF!$C$35:$W$35</c15:sqref>
                  </c15:fullRef>
                </c:ext>
              </c:extLst>
              <c:f>IBUASPA_OG_IBUDATHÖRF!$N$35:$W$35</c:f>
              <c:numCache>
                <c:formatCode>#,##0</c:formatCode>
                <c:ptCount val="10"/>
                <c:pt idx="4">
                  <c:v>233034</c:v>
                </c:pt>
                <c:pt idx="5">
                  <c:v>234828.36180000001</c:v>
                </c:pt>
                <c:pt idx="6">
                  <c:v>235286.27710551</c:v>
                </c:pt>
                <c:pt idx="7">
                  <c:v>236133.30770308984</c:v>
                </c:pt>
                <c:pt idx="8">
                  <c:v>237302.16757622015</c:v>
                </c:pt>
                <c:pt idx="9">
                  <c:v>238963.28274925367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253-4AC1-ABF8-DB4FCE912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4099008"/>
        <c:axId val="1400341440"/>
      </c:lineChart>
      <c:catAx>
        <c:axId val="1254099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s-IS"/>
          </a:p>
        </c:txPr>
        <c:crossAx val="1400341440"/>
        <c:crosses val="autoZero"/>
        <c:auto val="1"/>
        <c:lblAlgn val="ctr"/>
        <c:lblOffset val="100"/>
        <c:noMultiLvlLbl val="0"/>
      </c:catAx>
      <c:valAx>
        <c:axId val="1400341440"/>
        <c:scaling>
          <c:orientation val="minMax"/>
          <c:min val="2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s-IS"/>
          </a:p>
        </c:txPr>
        <c:crossAx val="1254099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s-I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is-I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9BC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s-I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FJÖLDI_STARFA!$H$5:$O$5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FJÖLDI_STARFA!$H$6:$O$6</c:f>
              <c:numCache>
                <c:formatCode>#,##0</c:formatCode>
                <c:ptCount val="8"/>
                <c:pt idx="0">
                  <c:v>199800</c:v>
                </c:pt>
                <c:pt idx="1">
                  <c:v>205100</c:v>
                </c:pt>
                <c:pt idx="2">
                  <c:v>210200</c:v>
                </c:pt>
                <c:pt idx="3">
                  <c:v>218600</c:v>
                </c:pt>
                <c:pt idx="4">
                  <c:v>228800</c:v>
                </c:pt>
                <c:pt idx="5">
                  <c:v>235700</c:v>
                </c:pt>
                <c:pt idx="6">
                  <c:v>234700</c:v>
                </c:pt>
                <c:pt idx="7">
                  <c:v>221900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48-46B9-B490-7A5995DA0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6748480"/>
        <c:axId val="348744816"/>
      </c:barChart>
      <c:catAx>
        <c:axId val="266748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s-IS"/>
          </a:p>
        </c:txPr>
        <c:crossAx val="348744816"/>
        <c:crosses val="autoZero"/>
        <c:auto val="1"/>
        <c:lblAlgn val="ctr"/>
        <c:lblOffset val="100"/>
        <c:noMultiLvlLbl val="0"/>
      </c:catAx>
      <c:valAx>
        <c:axId val="348744816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s-IS"/>
          </a:p>
        </c:txPr>
        <c:crossAx val="266748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s-I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s-I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'SAMGÖNGUM SVÆDI'!$H$6</c:f>
              <c:strCache>
                <c:ptCount val="1"/>
                <c:pt idx="0">
                  <c:v>Reykjavík - íbúðabyggð 2020-2024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C1D-4C61-86DF-884C5A54CC5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C1D-4C61-86DF-884C5A54CC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is-I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'SAMGÖNGUM SVÆDI'!$I$5:$J$5</c:f>
              <c:strCache>
                <c:ptCount val="2"/>
                <c:pt idx="0">
                  <c:v>Innan áhrifasvæðis</c:v>
                </c:pt>
                <c:pt idx="1">
                  <c:v>Utan áhrifasvæðis</c:v>
                </c:pt>
              </c:strCache>
            </c:strRef>
          </c:cat>
          <c:val>
            <c:numRef>
              <c:f>'SAMGÖNGUM SVÆDI'!$I$6:$J$6</c:f>
              <c:numCache>
                <c:formatCode>0%</c:formatCode>
                <c:ptCount val="2"/>
                <c:pt idx="0">
                  <c:v>0.71266666666666667</c:v>
                </c:pt>
                <c:pt idx="1">
                  <c:v>0.28733333333333333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AD-4B8B-AC8B-24DE8A604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s-I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s-I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s-I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'SAMGÖNGUM SVÆDI'!$H$7</c:f>
              <c:strCache>
                <c:ptCount val="1"/>
                <c:pt idx="0">
                  <c:v>Kópavogur - íbúðabyggð 2020-2024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D91-4AC1-8948-8BB28AFD184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D91-4AC1-8948-8BB28AFD184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is-I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'SAMGÖNGUM SVÆDI'!$I$5:$J$5</c:f>
              <c:strCache>
                <c:ptCount val="2"/>
                <c:pt idx="0">
                  <c:v>Innan áhrifasvæðis</c:v>
                </c:pt>
                <c:pt idx="1">
                  <c:v>Utan áhrifasvæðis</c:v>
                </c:pt>
              </c:strCache>
            </c:strRef>
          </c:cat>
          <c:val>
            <c:numRef>
              <c:f>'SAMGÖNGUM SVÆDI'!$I$7:$J$7</c:f>
              <c:numCache>
                <c:formatCode>0%</c:formatCode>
                <c:ptCount val="2"/>
                <c:pt idx="0">
                  <c:v>0.8649900727994706</c:v>
                </c:pt>
                <c:pt idx="1">
                  <c:v>0.1350099272005294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89-458A-B4A9-4E2A75763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s-I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s-I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Seltjarnarnes - íbúðabyggð 2020-2024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s-IS"/>
        </a:p>
      </c:txPr>
    </c:title>
    <c:autoTitleDeleted val="0"/>
    <c:plotArea>
      <c:layout>
        <c:manualLayout>
          <c:layoutTarget val="inner"/>
          <c:xMode val="edge"/>
          <c:yMode val="edge"/>
          <c:x val="0.1770600870129119"/>
          <c:y val="0.18209320154990569"/>
          <c:w val="0.65554623588475813"/>
          <c:h val="0.63736394663540807"/>
        </c:manualLayout>
      </c:layout>
      <c:pieChart>
        <c:varyColors val="1"/>
        <c:ser>
          <c:idx val="0"/>
          <c:order val="0"/>
          <c:tx>
            <c:strRef>
              <c:f>'SAMGÖNGUM SVÆDI'!$H$8</c:f>
              <c:strCache>
                <c:ptCount val="1"/>
                <c:pt idx="0">
                  <c:v>Seltjarnarnes - íbúðabyggð 2020-2024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2E5-4395-869B-252FAA0B774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2E5-4395-869B-252FAA0B774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is-I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'SAMGÖNGUM SVÆDI'!$I$5:$J$5</c:f>
              <c:strCache>
                <c:ptCount val="2"/>
                <c:pt idx="0">
                  <c:v>Innan áhrifasvæðis</c:v>
                </c:pt>
                <c:pt idx="1">
                  <c:v>Utan áhrifasvæðis</c:v>
                </c:pt>
              </c:strCache>
            </c:strRef>
          </c:cat>
          <c:val>
            <c:numRef>
              <c:f>'SAMGÖNGUM SVÆDI'!$I$8:$J$8</c:f>
              <c:numCache>
                <c:formatCode>0%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A6-479F-A1B2-43467E3E9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s-I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s-I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s-IS"/>
        </a:p>
      </c:txPr>
    </c:title>
    <c:autoTitleDeleted val="0"/>
    <c:plotArea>
      <c:layout>
        <c:manualLayout>
          <c:layoutTarget val="inner"/>
          <c:xMode val="edge"/>
          <c:yMode val="edge"/>
          <c:x val="0.20298732546150483"/>
          <c:y val="0.20178637065627"/>
          <c:w val="0.62744171587969055"/>
          <c:h val="0.6216356121153529"/>
        </c:manualLayout>
      </c:layout>
      <c:pieChart>
        <c:varyColors val="1"/>
        <c:ser>
          <c:idx val="0"/>
          <c:order val="0"/>
          <c:tx>
            <c:strRef>
              <c:f>'SAMGÖNGUM SVÆDI'!$H$9</c:f>
              <c:strCache>
                <c:ptCount val="1"/>
                <c:pt idx="0">
                  <c:v>Garðabær - íbúðabyggð 2020-2024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A23-491B-9B6A-428430C91F4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A23-491B-9B6A-428430C91F4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is-I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'SAMGÖNGUM SVÆDI'!$I$5:$J$5</c:f>
              <c:strCache>
                <c:ptCount val="2"/>
                <c:pt idx="0">
                  <c:v>Innan áhrifasvæðis</c:v>
                </c:pt>
                <c:pt idx="1">
                  <c:v>Utan áhrifasvæðis</c:v>
                </c:pt>
              </c:strCache>
            </c:strRef>
          </c:cat>
          <c:val>
            <c:numRef>
              <c:f>'SAMGÖNGUM SVÆDI'!$I$9:$J$9</c:f>
              <c:numCache>
                <c:formatCode>0%</c:formatCode>
                <c:ptCount val="2"/>
                <c:pt idx="0">
                  <c:v>0.276984126984127</c:v>
                </c:pt>
                <c:pt idx="1">
                  <c:v>0.723015873015873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85-4359-B703-FC65832A44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s-I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s-I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s-IS"/>
        </a:p>
      </c:txPr>
    </c:title>
    <c:autoTitleDeleted val="0"/>
    <c:plotArea>
      <c:layout>
        <c:manualLayout>
          <c:layoutTarget val="inner"/>
          <c:xMode val="edge"/>
          <c:yMode val="edge"/>
          <c:x val="0.20131387059973554"/>
          <c:y val="0.16394963394074455"/>
          <c:w val="0.63577796879642379"/>
          <c:h val="0.62636520420479358"/>
        </c:manualLayout>
      </c:layout>
      <c:pieChart>
        <c:varyColors val="1"/>
        <c:ser>
          <c:idx val="0"/>
          <c:order val="0"/>
          <c:tx>
            <c:strRef>
              <c:f>'SAMGÖNGUM SVÆDI'!$H$10</c:f>
              <c:strCache>
                <c:ptCount val="1"/>
                <c:pt idx="0">
                  <c:v>Hafnarfjörður - íbúðabyggð 2020-2024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AC8-4485-B813-D99FB13657B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AC8-4485-B813-D99FB13657B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is-I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'SAMGÖNGUM SVÆDI'!$I$5:$J$5</c:f>
              <c:strCache>
                <c:ptCount val="2"/>
                <c:pt idx="0">
                  <c:v>Innan áhrifasvæðis</c:v>
                </c:pt>
                <c:pt idx="1">
                  <c:v>Utan áhrifasvæðis</c:v>
                </c:pt>
              </c:strCache>
            </c:strRef>
          </c:cat>
          <c:val>
            <c:numRef>
              <c:f>'SAMGÖNGUM SVÆDI'!$I$10:$J$10</c:f>
              <c:numCache>
                <c:formatCode>0%</c:formatCode>
                <c:ptCount val="2"/>
                <c:pt idx="0">
                  <c:v>0.5632823365785814</c:v>
                </c:pt>
                <c:pt idx="1">
                  <c:v>0.4367176634214186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F7-4D19-BB5E-66F44E52B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s-I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s-I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s-IS"/>
        </a:p>
      </c:txPr>
    </c:title>
    <c:autoTitleDeleted val="0"/>
    <c:plotArea>
      <c:layout>
        <c:manualLayout>
          <c:layoutTarget val="inner"/>
          <c:xMode val="edge"/>
          <c:yMode val="edge"/>
          <c:x val="0.18394301187201786"/>
          <c:y val="0.19705677856682932"/>
          <c:w val="0.64665292435061072"/>
          <c:h val="0.63109479629423426"/>
        </c:manualLayout>
      </c:layout>
      <c:pieChart>
        <c:varyColors val="1"/>
        <c:ser>
          <c:idx val="0"/>
          <c:order val="0"/>
          <c:tx>
            <c:strRef>
              <c:f>'SAMGÖNGUM SVÆDI'!$H$11</c:f>
              <c:strCache>
                <c:ptCount val="1"/>
                <c:pt idx="0">
                  <c:v>Mosfellsbær - íbúðabyggð 2020-2024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90C-4F0F-9815-CC130B84465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90C-4F0F-9815-CC130B84465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is-I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'SAMGÖNGUM SVÆDI'!$I$5:$J$5</c:f>
              <c:strCache>
                <c:ptCount val="2"/>
                <c:pt idx="0">
                  <c:v>Innan áhrifasvæðis</c:v>
                </c:pt>
                <c:pt idx="1">
                  <c:v>Utan áhrifasvæðis</c:v>
                </c:pt>
              </c:strCache>
            </c:strRef>
          </c:cat>
          <c:val>
            <c:numRef>
              <c:f>'SAMGÖNGUM SVÆDI'!$I$11:$J$11</c:f>
              <c:numCache>
                <c:formatCode>0%</c:formatCode>
                <c:ptCount val="2"/>
                <c:pt idx="0">
                  <c:v>0.7023346303501945</c:v>
                </c:pt>
                <c:pt idx="1">
                  <c:v>0.2976653696498055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AB-4E58-B47D-FE3D7ED6D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s-I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s-I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.xml"/><Relationship Id="rId13" Type="http://schemas.openxmlformats.org/officeDocument/2006/relationships/chart" Target="../charts/chart16.xml"/><Relationship Id="rId3" Type="http://schemas.openxmlformats.org/officeDocument/2006/relationships/chart" Target="../charts/chart6.xml"/><Relationship Id="rId7" Type="http://schemas.openxmlformats.org/officeDocument/2006/relationships/chart" Target="../charts/chart10.xml"/><Relationship Id="rId12" Type="http://schemas.openxmlformats.org/officeDocument/2006/relationships/chart" Target="../charts/chart15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chart" Target="../charts/chart9.xml"/><Relationship Id="rId11" Type="http://schemas.openxmlformats.org/officeDocument/2006/relationships/chart" Target="../charts/chart14.xml"/><Relationship Id="rId5" Type="http://schemas.openxmlformats.org/officeDocument/2006/relationships/chart" Target="../charts/chart8.xml"/><Relationship Id="rId15" Type="http://schemas.openxmlformats.org/officeDocument/2006/relationships/chart" Target="../charts/chart18.xml"/><Relationship Id="rId10" Type="http://schemas.openxmlformats.org/officeDocument/2006/relationships/chart" Target="../charts/chart13.xml"/><Relationship Id="rId4" Type="http://schemas.openxmlformats.org/officeDocument/2006/relationships/chart" Target="../charts/chart7.xml"/><Relationship Id="rId9" Type="http://schemas.openxmlformats.org/officeDocument/2006/relationships/chart" Target="../charts/chart12.xml"/><Relationship Id="rId14" Type="http://schemas.openxmlformats.org/officeDocument/2006/relationships/chart" Target="../charts/chart17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354496</xdr:colOff>
      <xdr:row>49</xdr:row>
      <xdr:rowOff>161926</xdr:rowOff>
    </xdr:from>
    <xdr:to>
      <xdr:col>18</xdr:col>
      <xdr:colOff>38099</xdr:colOff>
      <xdr:row>68</xdr:row>
      <xdr:rowOff>9526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AEB7779-87FE-478C-814F-0CCB06319B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119270</xdr:colOff>
      <xdr:row>49</xdr:row>
      <xdr:rowOff>161925</xdr:rowOff>
    </xdr:from>
    <xdr:to>
      <xdr:col>27</xdr:col>
      <xdr:colOff>596347</xdr:colOff>
      <xdr:row>68</xdr:row>
      <xdr:rowOff>9525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4BDAFD0-162A-4388-80EC-913FA7694D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52619</xdr:colOff>
      <xdr:row>8</xdr:row>
      <xdr:rowOff>103434</xdr:rowOff>
    </xdr:from>
    <xdr:to>
      <xdr:col>11</xdr:col>
      <xdr:colOff>57978</xdr:colOff>
      <xdr:row>22</xdr:row>
      <xdr:rowOff>179634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91281F-8C96-4B28-AF80-D136E1A2FC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273327</xdr:colOff>
      <xdr:row>3</xdr:row>
      <xdr:rowOff>28160</xdr:rowOff>
    </xdr:from>
    <xdr:to>
      <xdr:col>13</xdr:col>
      <xdr:colOff>600076</xdr:colOff>
      <xdr:row>16</xdr:row>
      <xdr:rowOff>120926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8FEE7D9-9D25-4526-BFE2-6D78B331EC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182218</xdr:colOff>
      <xdr:row>3</xdr:row>
      <xdr:rowOff>28160</xdr:rowOff>
    </xdr:from>
    <xdr:to>
      <xdr:col>21</xdr:col>
      <xdr:colOff>381000</xdr:colOff>
      <xdr:row>16</xdr:row>
      <xdr:rowOff>120926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D40E5F4-F4A9-4137-B3FD-D12FEF9BDC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10770</xdr:colOff>
      <xdr:row>3</xdr:row>
      <xdr:rowOff>77027</xdr:rowOff>
    </xdr:from>
    <xdr:to>
      <xdr:col>29</xdr:col>
      <xdr:colOff>200026</xdr:colOff>
      <xdr:row>16</xdr:row>
      <xdr:rowOff>169793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B0A0D16-D319-4B6A-9519-9E35204456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273327</xdr:colOff>
      <xdr:row>17</xdr:row>
      <xdr:rowOff>44726</xdr:rowOff>
    </xdr:from>
    <xdr:to>
      <xdr:col>13</xdr:col>
      <xdr:colOff>600075</xdr:colOff>
      <xdr:row>31</xdr:row>
      <xdr:rowOff>62947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4B7FB3D-F733-49A7-B544-C75A7568A9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183459</xdr:colOff>
      <xdr:row>17</xdr:row>
      <xdr:rowOff>35202</xdr:rowOff>
    </xdr:from>
    <xdr:to>
      <xdr:col>21</xdr:col>
      <xdr:colOff>390525</xdr:colOff>
      <xdr:row>31</xdr:row>
      <xdr:rowOff>53423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B728394-79CF-45BD-BFA2-6DEB774763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25</xdr:col>
      <xdr:colOff>8284</xdr:colOff>
      <xdr:row>17</xdr:row>
      <xdr:rowOff>85549</xdr:rowOff>
    </xdr:from>
    <xdr:to>
      <xdr:col>29</xdr:col>
      <xdr:colOff>190500</xdr:colOff>
      <xdr:row>31</xdr:row>
      <xdr:rowOff>103770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8A3622F-A38C-4309-B706-CCFE1CBE6F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37541</xdr:colOff>
      <xdr:row>17</xdr:row>
      <xdr:rowOff>12325</xdr:rowOff>
    </xdr:from>
    <xdr:to>
      <xdr:col>2</xdr:col>
      <xdr:colOff>2571751</xdr:colOff>
      <xdr:row>31</xdr:row>
      <xdr:rowOff>88525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2059BEBB-87B8-4D92-A0DE-13E5899E0C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586628</xdr:colOff>
      <xdr:row>17</xdr:row>
      <xdr:rowOff>23531</xdr:rowOff>
    </xdr:from>
    <xdr:to>
      <xdr:col>8</xdr:col>
      <xdr:colOff>104776</xdr:colOff>
      <xdr:row>31</xdr:row>
      <xdr:rowOff>99731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9AB5FCA-C1B0-4A24-A5B2-52B6E81E4F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360590</xdr:colOff>
      <xdr:row>46</xdr:row>
      <xdr:rowOff>29935</xdr:rowOff>
    </xdr:from>
    <xdr:to>
      <xdr:col>4</xdr:col>
      <xdr:colOff>47626</xdr:colOff>
      <xdr:row>60</xdr:row>
      <xdr:rowOff>106135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9FCDA532-3A38-4BAE-A359-3A6D2522BD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17</xdr:col>
      <xdr:colOff>210909</xdr:colOff>
      <xdr:row>34</xdr:row>
      <xdr:rowOff>43543</xdr:rowOff>
    </xdr:from>
    <xdr:to>
      <xdr:col>21</xdr:col>
      <xdr:colOff>409574</xdr:colOff>
      <xdr:row>47</xdr:row>
      <xdr:rowOff>146957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B13C5968-67BB-4A01-AE47-0A3BF36C5E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17</xdr:col>
      <xdr:colOff>210910</xdr:colOff>
      <xdr:row>48</xdr:row>
      <xdr:rowOff>97972</xdr:rowOff>
    </xdr:from>
    <xdr:to>
      <xdr:col>21</xdr:col>
      <xdr:colOff>409575</xdr:colOff>
      <xdr:row>62</xdr:row>
      <xdr:rowOff>174172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E1A0FB6E-B4F9-40D9-A415-5A0F717058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25</xdr:col>
      <xdr:colOff>20410</xdr:colOff>
      <xdr:row>48</xdr:row>
      <xdr:rowOff>97972</xdr:rowOff>
    </xdr:from>
    <xdr:to>
      <xdr:col>29</xdr:col>
      <xdr:colOff>95250</xdr:colOff>
      <xdr:row>62</xdr:row>
      <xdr:rowOff>174172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FCFF6F85-E983-41CC-93DD-57428BB617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10</xdr:col>
      <xdr:colOff>319767</xdr:colOff>
      <xdr:row>48</xdr:row>
      <xdr:rowOff>91167</xdr:rowOff>
    </xdr:from>
    <xdr:to>
      <xdr:col>14</xdr:col>
      <xdr:colOff>9525</xdr:colOff>
      <xdr:row>62</xdr:row>
      <xdr:rowOff>167367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DD9BF42C-6F1A-456C-82F1-24AC55C8D1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</xdr:col>
      <xdr:colOff>2705100</xdr:colOff>
      <xdr:row>17</xdr:row>
      <xdr:rowOff>9525</xdr:rowOff>
    </xdr:from>
    <xdr:to>
      <xdr:col>5</xdr:col>
      <xdr:colOff>666749</xdr:colOff>
      <xdr:row>31</xdr:row>
      <xdr:rowOff>85725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65ED9A8C-5051-4201-B753-7C6B36E6DC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10</xdr:col>
      <xdr:colOff>285750</xdr:colOff>
      <xdr:row>34</xdr:row>
      <xdr:rowOff>38100</xdr:rowOff>
    </xdr:from>
    <xdr:to>
      <xdr:col>14</xdr:col>
      <xdr:colOff>0</xdr:colOff>
      <xdr:row>47</xdr:row>
      <xdr:rowOff>180975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FAA87665-8CF8-4288-A901-72C73679C5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276784</xdr:colOff>
      <xdr:row>17</xdr:row>
      <xdr:rowOff>15968</xdr:rowOff>
    </xdr:from>
    <xdr:to>
      <xdr:col>39</xdr:col>
      <xdr:colOff>267259</xdr:colOff>
      <xdr:row>31</xdr:row>
      <xdr:rowOff>11206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F343858-449F-43FB-82CC-B9E06C5164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0970AE0-C9C0-4A40-96A2-79FC461C85F6}" name="Table1" displayName="Table1" ref="A2:J62" totalsRowShown="0">
  <autoFilter ref="A2:J62" xr:uid="{62EBBF22-FFE3-402E-881C-0DFB81763BEC}"/>
  <tableColumns count="10">
    <tableColumn id="1" xr3:uid="{E2C3AD11-F70C-4C2C-BD5A-D63CDD36208C}" name="id"/>
    <tableColumn id="2" xr3:uid="{6C4A281D-9ADC-4D0A-8C70-413787F100AF}" name="nafn"/>
    <tableColumn id="12" xr3:uid="{F81350CC-3756-4A7E-A87A-17F158D4472C}" name="s_sveitafela"/>
    <tableColumn id="3" xr3:uid="{5262189E-E9D9-4EEF-9228-29952F4CDBFD}" name="tegund"/>
    <tableColumn id="10" xr3:uid="{5692752C-4934-47C0-BD55-4CADFADB747D}" name="ib_fj_v2"/>
    <tableColumn id="5" xr3:uid="{66A87D60-B984-45B8-B1F0-B8D669B3C617}" name="obyggt"/>
    <tableColumn id="7" xr3:uid="{5E9A1666-C86C-4ADA-A6B9-48C2B25BC01E}" name="area"/>
    <tableColumn id="8" xr3:uid="{C8C9E566-510A-4F8B-B043-9202EEC1C7D4}" name="area_clip" dataDxfId="1"/>
    <tableColumn id="9" xr3:uid="{B8B43C01-4354-4716-825E-B4557AABE492}" name="area_hlutf"/>
    <tableColumn id="11" xr3:uid="{13C4E3CB-3144-409B-A3C8-E588F51E7761}" name="ib_hlutfal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E29766D-3C3E-4603-A86C-36BB3FA4EB63}" name="Table13" displayName="Table13" ref="A2:J54" totalsRowShown="0">
  <autoFilter ref="A2:J54" xr:uid="{252BD465-C360-4607-B0D9-C3E5F40710F0}"/>
  <tableColumns count="10">
    <tableColumn id="1" xr3:uid="{2DADC925-BDB9-47C1-996C-8962B25D01FA}" name="id"/>
    <tableColumn id="2" xr3:uid="{D828AA6D-F2D5-4BDE-84E2-7711727069AE}" name="nafn"/>
    <tableColumn id="11" xr3:uid="{5F533439-7003-4924-8946-89DE6742269D}" name="s_sveitafela"/>
    <tableColumn id="3" xr3:uid="{EEF01B74-1D09-45D1-A852-AC9F3AEF6E2A}" name="tegund"/>
    <tableColumn id="9" xr3:uid="{000A1339-5F32-4290-9435-1526CEFDCEE3}" name="at_fm_v2"/>
    <tableColumn id="5" xr3:uid="{28CDAF6F-400F-45B5-9B2A-6F83294A4C95}" name="obyggt_at"/>
    <tableColumn id="6" xr3:uid="{051E867F-0E5B-41CA-9A4F-D7BC54FB6B10}" name="area"/>
    <tableColumn id="7" xr3:uid="{E7D75BE9-0BA1-49AF-8883-A7D7FB3320D6}" name="area_clip" dataDxfId="0"/>
    <tableColumn id="8" xr3:uid="{DE427381-F91A-4A60-B76D-BF4334C32563}" name="area_hlutf"/>
    <tableColumn id="10" xr3:uid="{E8B2D788-94A0-4FB8-9048-290B079BAFAF}" name="fm_hlutfal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E90D7-D559-4641-B812-5679EC93D2F9}">
  <dimension ref="A2:Z60"/>
  <sheetViews>
    <sheetView showGridLines="0" tabSelected="1" zoomScaleNormal="100" workbookViewId="0">
      <selection activeCell="B6" sqref="B6"/>
    </sheetView>
  </sheetViews>
  <sheetFormatPr defaultRowHeight="15" x14ac:dyDescent="0.25"/>
  <cols>
    <col min="1" max="1" width="6.28515625" bestFit="1" customWidth="1"/>
    <col min="2" max="2" width="26.7109375" customWidth="1"/>
    <col min="3" max="18" width="9.140625" style="23"/>
    <col min="19" max="24" width="9.140625" style="22"/>
  </cols>
  <sheetData>
    <row r="2" spans="2:24" ht="39" x14ac:dyDescent="0.6">
      <c r="B2" s="1" t="s">
        <v>49</v>
      </c>
    </row>
    <row r="3" spans="2:24" x14ac:dyDescent="0.25"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</row>
    <row r="4" spans="2:24" x14ac:dyDescent="0.25">
      <c r="B4" s="26" t="s">
        <v>18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2:24" x14ac:dyDescent="0.25">
      <c r="B5" s="32" t="s">
        <v>1</v>
      </c>
      <c r="C5" s="27">
        <v>1999</v>
      </c>
      <c r="D5" s="27">
        <v>2000</v>
      </c>
      <c r="E5" s="27">
        <v>2001</v>
      </c>
      <c r="F5" s="27">
        <v>2002</v>
      </c>
      <c r="G5" s="27">
        <v>2003</v>
      </c>
      <c r="H5" s="27">
        <v>2004</v>
      </c>
      <c r="I5" s="27">
        <v>2005</v>
      </c>
      <c r="J5" s="27">
        <v>2006</v>
      </c>
      <c r="K5" s="27">
        <v>2007</v>
      </c>
      <c r="L5" s="27">
        <v>2008</v>
      </c>
      <c r="M5" s="27">
        <v>2009</v>
      </c>
      <c r="N5" s="27">
        <v>2010</v>
      </c>
      <c r="O5" s="27">
        <v>2011</v>
      </c>
      <c r="P5" s="27">
        <v>2012</v>
      </c>
      <c r="Q5" s="27">
        <v>2013</v>
      </c>
      <c r="R5" s="27">
        <v>2014</v>
      </c>
      <c r="S5" s="27">
        <v>2015</v>
      </c>
      <c r="T5" s="27">
        <v>2016</v>
      </c>
      <c r="U5" s="27">
        <v>2017</v>
      </c>
      <c r="V5" s="27">
        <v>2018</v>
      </c>
      <c r="W5" s="27">
        <v>2019</v>
      </c>
      <c r="X5" s="27">
        <v>2020</v>
      </c>
    </row>
    <row r="6" spans="2:24" x14ac:dyDescent="0.25">
      <c r="B6" s="14" t="s">
        <v>24</v>
      </c>
      <c r="C6" s="4">
        <v>168344</v>
      </c>
      <c r="D6" s="4">
        <v>171792</v>
      </c>
      <c r="E6" s="4">
        <v>175427</v>
      </c>
      <c r="F6" s="4">
        <v>178301</v>
      </c>
      <c r="G6" s="4">
        <v>179992</v>
      </c>
      <c r="H6" s="4">
        <v>181917</v>
      </c>
      <c r="I6" s="4">
        <v>184244</v>
      </c>
      <c r="J6" s="4">
        <v>187426</v>
      </c>
      <c r="K6" s="4">
        <v>191919</v>
      </c>
      <c r="L6" s="4">
        <v>197945</v>
      </c>
      <c r="M6" s="4">
        <v>201251</v>
      </c>
      <c r="N6" s="4">
        <v>200907</v>
      </c>
      <c r="O6" s="4">
        <v>202341</v>
      </c>
      <c r="P6" s="4">
        <v>203594</v>
      </c>
      <c r="Q6" s="4">
        <v>205675</v>
      </c>
      <c r="R6" s="4">
        <v>208752</v>
      </c>
      <c r="S6" s="4">
        <v>211282</v>
      </c>
      <c r="T6" s="4">
        <v>213619</v>
      </c>
      <c r="U6" s="4">
        <v>216878</v>
      </c>
      <c r="V6" s="4">
        <v>222484</v>
      </c>
      <c r="W6" s="4">
        <v>228231</v>
      </c>
      <c r="X6" s="4">
        <v>233034</v>
      </c>
    </row>
    <row r="7" spans="2:24" x14ac:dyDescent="0.25">
      <c r="B7" s="14" t="s">
        <v>19</v>
      </c>
      <c r="C7" s="4">
        <v>62693</v>
      </c>
      <c r="D7" s="4">
        <v>63760</v>
      </c>
      <c r="E7" s="4">
        <v>64945</v>
      </c>
      <c r="F7" s="4">
        <v>66435</v>
      </c>
      <c r="G7" s="4">
        <v>67820</v>
      </c>
      <c r="H7" s="4">
        <v>69654</v>
      </c>
      <c r="I7" s="4">
        <v>71549</v>
      </c>
      <c r="J7" s="4">
        <v>73225</v>
      </c>
      <c r="K7" s="4">
        <v>75619</v>
      </c>
      <c r="L7" s="4">
        <v>77626</v>
      </c>
      <c r="M7" s="4">
        <v>79596</v>
      </c>
      <c r="N7" s="4">
        <v>80000</v>
      </c>
      <c r="O7" s="4">
        <v>80703</v>
      </c>
      <c r="P7" s="4">
        <v>80974</v>
      </c>
      <c r="Q7" s="4">
        <v>81276</v>
      </c>
      <c r="R7" s="4">
        <v>81920</v>
      </c>
      <c r="S7" s="4">
        <v>82879</v>
      </c>
      <c r="T7" s="4">
        <v>83895</v>
      </c>
      <c r="U7" s="4">
        <v>85200</v>
      </c>
      <c r="V7" s="4">
        <v>86500</v>
      </c>
      <c r="W7" s="4">
        <v>87934</v>
      </c>
      <c r="X7" s="4">
        <v>90033</v>
      </c>
    </row>
    <row r="8" spans="2:24" x14ac:dyDescent="0.25">
      <c r="B8" s="14" t="s">
        <v>20</v>
      </c>
      <c r="C8" s="28">
        <f>+C6/C7</f>
        <v>2.6852120651428391</v>
      </c>
      <c r="D8" s="28">
        <f t="shared" ref="D8:S8" si="0">+D6/D7</f>
        <v>2.6943538268506901</v>
      </c>
      <c r="E8" s="28">
        <f t="shared" si="0"/>
        <v>2.7011625221341133</v>
      </c>
      <c r="F8" s="28">
        <f t="shared" si="0"/>
        <v>2.6838413486866863</v>
      </c>
      <c r="G8" s="28">
        <f t="shared" si="0"/>
        <v>2.6539663815983485</v>
      </c>
      <c r="H8" s="28">
        <f t="shared" si="0"/>
        <v>2.6117236626755105</v>
      </c>
      <c r="I8" s="28">
        <f t="shared" si="0"/>
        <v>2.5750744245202588</v>
      </c>
      <c r="J8" s="28">
        <f t="shared" si="0"/>
        <v>2.5595903038579721</v>
      </c>
      <c r="K8" s="28">
        <f t="shared" si="0"/>
        <v>2.5379732606884513</v>
      </c>
      <c r="L8" s="28">
        <f t="shared" si="0"/>
        <v>2.5499832530337772</v>
      </c>
      <c r="M8" s="28">
        <f t="shared" si="0"/>
        <v>2.5284059500477412</v>
      </c>
      <c r="N8" s="28">
        <f t="shared" si="0"/>
        <v>2.5113374999999998</v>
      </c>
      <c r="O8" s="28">
        <f t="shared" si="0"/>
        <v>2.5072302144901677</v>
      </c>
      <c r="P8" s="28">
        <f t="shared" si="0"/>
        <v>2.5143132363474696</v>
      </c>
      <c r="Q8" s="28">
        <f t="shared" si="0"/>
        <v>2.530574831438555</v>
      </c>
      <c r="R8" s="28">
        <f t="shared" si="0"/>
        <v>2.5482421875000001</v>
      </c>
      <c r="S8" s="28">
        <f t="shared" si="0"/>
        <v>2.5492826892216365</v>
      </c>
      <c r="T8" s="28">
        <f t="shared" ref="T8" si="1">+T6/T7</f>
        <v>2.5462661660408843</v>
      </c>
      <c r="U8" s="28">
        <f t="shared" ref="U8" si="2">+U6/U7</f>
        <v>2.5455164319248826</v>
      </c>
      <c r="V8" s="28">
        <f t="shared" ref="V8" si="3">+V6/V7</f>
        <v>2.5720693641618495</v>
      </c>
      <c r="W8" s="28">
        <f t="shared" ref="W8" si="4">+W6/W7</f>
        <v>2.5954807014351671</v>
      </c>
      <c r="X8" s="28">
        <f t="shared" ref="X8" si="5">+X6/X7</f>
        <v>2.5883176168738129</v>
      </c>
    </row>
    <row r="9" spans="2:24" s="38" customFormat="1" x14ac:dyDescent="0.25">
      <c r="B9" s="35" t="s">
        <v>25</v>
      </c>
      <c r="D9" s="37">
        <f>+D6-C6</f>
        <v>3448</v>
      </c>
      <c r="E9" s="37">
        <f t="shared" ref="E9:X9" si="6">+E6-D6</f>
        <v>3635</v>
      </c>
      <c r="F9" s="37">
        <f t="shared" si="6"/>
        <v>2874</v>
      </c>
      <c r="G9" s="37">
        <f t="shared" si="6"/>
        <v>1691</v>
      </c>
      <c r="H9" s="37">
        <f t="shared" si="6"/>
        <v>1925</v>
      </c>
      <c r="I9" s="37">
        <f t="shared" si="6"/>
        <v>2327</v>
      </c>
      <c r="J9" s="37">
        <f t="shared" si="6"/>
        <v>3182</v>
      </c>
      <c r="K9" s="37">
        <f t="shared" si="6"/>
        <v>4493</v>
      </c>
      <c r="L9" s="37">
        <f t="shared" si="6"/>
        <v>6026</v>
      </c>
      <c r="M9" s="37">
        <f t="shared" si="6"/>
        <v>3306</v>
      </c>
      <c r="N9" s="37">
        <f t="shared" si="6"/>
        <v>-344</v>
      </c>
      <c r="O9" s="37">
        <f t="shared" si="6"/>
        <v>1434</v>
      </c>
      <c r="P9" s="37">
        <f t="shared" si="6"/>
        <v>1253</v>
      </c>
      <c r="Q9" s="37">
        <f t="shared" si="6"/>
        <v>2081</v>
      </c>
      <c r="R9" s="37">
        <f t="shared" si="6"/>
        <v>3077</v>
      </c>
      <c r="S9" s="37">
        <f t="shared" si="6"/>
        <v>2530</v>
      </c>
      <c r="T9" s="37">
        <f t="shared" si="6"/>
        <v>2337</v>
      </c>
      <c r="U9" s="37">
        <f t="shared" si="6"/>
        <v>3259</v>
      </c>
      <c r="V9" s="37">
        <f t="shared" si="6"/>
        <v>5606</v>
      </c>
      <c r="W9" s="37">
        <f t="shared" si="6"/>
        <v>5747</v>
      </c>
      <c r="X9" s="37">
        <f t="shared" si="6"/>
        <v>4803</v>
      </c>
    </row>
    <row r="10" spans="2:24" x14ac:dyDescent="0.25">
      <c r="B10" s="14" t="s">
        <v>21</v>
      </c>
      <c r="D10" s="31">
        <f t="shared" ref="D10:X10" si="7">+(D6-C6)/C6</f>
        <v>2.0481870455733499E-2</v>
      </c>
      <c r="E10" s="31">
        <f t="shared" si="7"/>
        <v>2.1159308931731395E-2</v>
      </c>
      <c r="F10" s="31">
        <f t="shared" si="7"/>
        <v>1.6382882908560256E-2</v>
      </c>
      <c r="G10" s="31">
        <f t="shared" si="7"/>
        <v>9.4839625128294285E-3</v>
      </c>
      <c r="H10" s="31">
        <f t="shared" si="7"/>
        <v>1.0694919774212188E-2</v>
      </c>
      <c r="I10" s="31">
        <f t="shared" si="7"/>
        <v>1.2791547793774083E-2</v>
      </c>
      <c r="J10" s="31">
        <f t="shared" si="7"/>
        <v>1.7270575975337054E-2</v>
      </c>
      <c r="K10" s="31">
        <f t="shared" si="7"/>
        <v>2.3972127666385668E-2</v>
      </c>
      <c r="L10" s="31">
        <f t="shared" si="7"/>
        <v>3.1398662977610348E-2</v>
      </c>
      <c r="M10" s="31">
        <f t="shared" si="7"/>
        <v>1.6701609032812145E-2</v>
      </c>
      <c r="N10" s="31">
        <f t="shared" si="7"/>
        <v>-1.7093082767290597E-3</v>
      </c>
      <c r="O10" s="31">
        <f t="shared" si="7"/>
        <v>7.1376308441219068E-3</v>
      </c>
      <c r="P10" s="31">
        <f t="shared" si="7"/>
        <v>6.1925165932757075E-3</v>
      </c>
      <c r="Q10" s="31">
        <f t="shared" si="7"/>
        <v>1.0221322828767056E-2</v>
      </c>
      <c r="R10" s="31">
        <f t="shared" si="7"/>
        <v>1.4960495928041814E-2</v>
      </c>
      <c r="S10" s="31">
        <f t="shared" si="7"/>
        <v>1.2119644362688741E-2</v>
      </c>
      <c r="T10" s="31">
        <f t="shared" si="7"/>
        <v>1.1061046374040382E-2</v>
      </c>
      <c r="U10" s="31">
        <f t="shared" si="7"/>
        <v>1.5256133583623179E-2</v>
      </c>
      <c r="V10" s="31">
        <f t="shared" si="7"/>
        <v>2.5848633794114662E-2</v>
      </c>
      <c r="W10" s="31">
        <f t="shared" si="7"/>
        <v>2.5831070998363927E-2</v>
      </c>
      <c r="X10" s="31">
        <f t="shared" si="7"/>
        <v>2.1044468104683411E-2</v>
      </c>
    </row>
    <row r="11" spans="2:24" s="38" customFormat="1" x14ac:dyDescent="0.25">
      <c r="B11" s="35" t="s">
        <v>67</v>
      </c>
      <c r="D11" s="37">
        <f>+D7-C7</f>
        <v>1067</v>
      </c>
      <c r="E11" s="37">
        <f t="shared" ref="E11:X11" si="8">+E7-D7</f>
        <v>1185</v>
      </c>
      <c r="F11" s="37">
        <f t="shared" si="8"/>
        <v>1490</v>
      </c>
      <c r="G11" s="37">
        <f t="shared" si="8"/>
        <v>1385</v>
      </c>
      <c r="H11" s="37">
        <f t="shared" si="8"/>
        <v>1834</v>
      </c>
      <c r="I11" s="37">
        <f t="shared" si="8"/>
        <v>1895</v>
      </c>
      <c r="J11" s="37">
        <f t="shared" si="8"/>
        <v>1676</v>
      </c>
      <c r="K11" s="37">
        <f t="shared" si="8"/>
        <v>2394</v>
      </c>
      <c r="L11" s="37">
        <f t="shared" si="8"/>
        <v>2007</v>
      </c>
      <c r="M11" s="37">
        <f t="shared" si="8"/>
        <v>1970</v>
      </c>
      <c r="N11" s="37">
        <f t="shared" si="8"/>
        <v>404</v>
      </c>
      <c r="O11" s="37">
        <f t="shared" si="8"/>
        <v>703</v>
      </c>
      <c r="P11" s="37">
        <f t="shared" si="8"/>
        <v>271</v>
      </c>
      <c r="Q11" s="37">
        <f t="shared" si="8"/>
        <v>302</v>
      </c>
      <c r="R11" s="37">
        <f t="shared" si="8"/>
        <v>644</v>
      </c>
      <c r="S11" s="37">
        <f>+S7-R7</f>
        <v>959</v>
      </c>
      <c r="T11" s="37">
        <f t="shared" si="8"/>
        <v>1016</v>
      </c>
      <c r="U11" s="37">
        <f t="shared" si="8"/>
        <v>1305</v>
      </c>
      <c r="V11" s="37">
        <f t="shared" si="8"/>
        <v>1300</v>
      </c>
      <c r="W11" s="37">
        <f t="shared" si="8"/>
        <v>1434</v>
      </c>
      <c r="X11" s="37">
        <f t="shared" si="8"/>
        <v>2099</v>
      </c>
    </row>
    <row r="12" spans="2:24" x14ac:dyDescent="0.25">
      <c r="B12" s="30" t="s">
        <v>4</v>
      </c>
      <c r="I12" s="23">
        <v>2044</v>
      </c>
      <c r="J12" s="23">
        <v>1800</v>
      </c>
      <c r="K12" s="23">
        <v>2240</v>
      </c>
      <c r="L12" s="23">
        <v>1242</v>
      </c>
      <c r="M12" s="23">
        <v>425</v>
      </c>
      <c r="N12" s="23">
        <v>777</v>
      </c>
      <c r="O12" s="23">
        <v>475</v>
      </c>
      <c r="P12" s="23">
        <v>988</v>
      </c>
      <c r="Q12" s="23">
        <v>753</v>
      </c>
      <c r="R12" s="23">
        <v>850</v>
      </c>
      <c r="X12" s="25"/>
    </row>
    <row r="13" spans="2:24" x14ac:dyDescent="0.25">
      <c r="B13" s="30" t="s">
        <v>16</v>
      </c>
      <c r="X13" s="25"/>
    </row>
    <row r="15" spans="2:24" x14ac:dyDescent="0.25">
      <c r="B15" s="26" t="s">
        <v>23</v>
      </c>
      <c r="C15" s="2"/>
      <c r="D15" s="2"/>
      <c r="E15" s="2"/>
      <c r="F15" s="2"/>
    </row>
    <row r="16" spans="2:24" x14ac:dyDescent="0.25">
      <c r="B16" s="32" t="s">
        <v>1</v>
      </c>
      <c r="C16" s="34" t="s">
        <v>26</v>
      </c>
      <c r="D16" s="34" t="s">
        <v>27</v>
      </c>
      <c r="E16" s="34" t="s">
        <v>28</v>
      </c>
      <c r="F16" s="34" t="s">
        <v>30</v>
      </c>
    </row>
    <row r="17" spans="1:25" x14ac:dyDescent="0.25">
      <c r="B17" s="35" t="s">
        <v>29</v>
      </c>
      <c r="C17" s="37">
        <f>+SUM(D9:X9)</f>
        <v>64690</v>
      </c>
      <c r="D17" s="37">
        <f>+SUM(U9:X9)</f>
        <v>19415</v>
      </c>
      <c r="E17" s="37">
        <f>+SUM(I9:L9)</f>
        <v>16028</v>
      </c>
      <c r="F17" s="37">
        <f>+SUM(M9:P9)</f>
        <v>5649</v>
      </c>
      <c r="J17" s="38"/>
      <c r="L17" s="38"/>
    </row>
    <row r="18" spans="1:25" s="38" customFormat="1" x14ac:dyDescent="0.25">
      <c r="B18" s="35" t="s">
        <v>25</v>
      </c>
      <c r="C18" s="37">
        <f>+AVERAGE(D9:X9)</f>
        <v>3080.4761904761904</v>
      </c>
      <c r="D18" s="41">
        <f>+AVERAGE(U9:X9)</f>
        <v>4853.75</v>
      </c>
      <c r="E18" s="37">
        <f>+AVERAGE(I9:L9)</f>
        <v>4007</v>
      </c>
      <c r="F18" s="37">
        <f>+AVERAGE(M9:P9)</f>
        <v>1412.25</v>
      </c>
      <c r="G18" s="36"/>
      <c r="H18" s="36"/>
      <c r="I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</row>
    <row r="19" spans="1:25" x14ac:dyDescent="0.25">
      <c r="B19" s="14" t="s">
        <v>21</v>
      </c>
      <c r="C19" s="39">
        <f>+AVERAGE(D10:X10)</f>
        <v>1.5633386817332277E-2</v>
      </c>
      <c r="D19" s="40">
        <f>+AVERAGE(U10:X10)</f>
        <v>2.1995076620196296E-2</v>
      </c>
      <c r="E19" s="39">
        <f>+AVERAGE(I10:L10)</f>
        <v>2.135822860327679E-2</v>
      </c>
      <c r="F19" s="39">
        <f>+AVERAGE(M10:P10)</f>
        <v>7.0806120483701751E-3</v>
      </c>
      <c r="J19"/>
      <c r="K19"/>
      <c r="L19"/>
    </row>
    <row r="20" spans="1:25" x14ac:dyDescent="0.25">
      <c r="B20" s="35" t="s">
        <v>31</v>
      </c>
      <c r="C20" s="40">
        <f>+MAX(D10:X10)</f>
        <v>3.1398662977610348E-2</v>
      </c>
      <c r="D20" s="40">
        <f>+MAX(U10:X10)</f>
        <v>2.5848633794114662E-2</v>
      </c>
      <c r="E20" s="40">
        <f>+MAX(I10:L10)</f>
        <v>3.1398662977610348E-2</v>
      </c>
      <c r="F20" s="40">
        <f>+MAX(M10:P10)</f>
        <v>1.6701609032812145E-2</v>
      </c>
    </row>
    <row r="21" spans="1:25" x14ac:dyDescent="0.25">
      <c r="B21" s="35" t="s">
        <v>32</v>
      </c>
      <c r="C21" s="40">
        <f>+MIN(D10:X10)</f>
        <v>-1.7093082767290597E-3</v>
      </c>
      <c r="D21" s="40">
        <f>+MIN(U10:X10)</f>
        <v>1.5256133583623179E-2</v>
      </c>
      <c r="E21" s="40">
        <f>+MIN(I10:L10)</f>
        <v>1.2791547793774083E-2</v>
      </c>
      <c r="F21" s="40">
        <f>+MIN(M10:P10)</f>
        <v>-1.7093082767290597E-3</v>
      </c>
    </row>
    <row r="22" spans="1:25" x14ac:dyDescent="0.25">
      <c r="B22" s="35" t="s">
        <v>67</v>
      </c>
      <c r="C22" s="37">
        <f>+AVERAGE(D11:X11)</f>
        <v>1301.9047619047619</v>
      </c>
      <c r="D22" s="40"/>
      <c r="E22" s="40"/>
      <c r="F22" s="40"/>
    </row>
    <row r="24" spans="1:25" x14ac:dyDescent="0.25">
      <c r="B24" s="26" t="s">
        <v>60</v>
      </c>
      <c r="C24" s="2"/>
      <c r="D24" s="2"/>
      <c r="E24" s="2"/>
      <c r="F24" s="2"/>
      <c r="G24" s="2"/>
      <c r="H24" s="2"/>
    </row>
    <row r="25" spans="1:25" ht="15.75" thickBot="1" x14ac:dyDescent="0.3">
      <c r="A25" s="55" t="s">
        <v>13</v>
      </c>
      <c r="B25" s="32" t="s">
        <v>55</v>
      </c>
      <c r="C25" s="33">
        <v>2020</v>
      </c>
      <c r="D25" s="33">
        <v>2021</v>
      </c>
      <c r="E25" s="33">
        <v>2022</v>
      </c>
      <c r="F25" s="33">
        <v>2023</v>
      </c>
      <c r="G25" s="33">
        <v>2024</v>
      </c>
      <c r="H25" s="33" t="s">
        <v>65</v>
      </c>
      <c r="I25" s="91" t="s">
        <v>215</v>
      </c>
      <c r="S25" s="105" t="s">
        <v>216</v>
      </c>
      <c r="T25" s="36"/>
      <c r="U25" s="36"/>
      <c r="V25" s="36"/>
      <c r="W25" s="36"/>
      <c r="X25" s="36"/>
    </row>
    <row r="26" spans="1:25" s="38" customFormat="1" x14ac:dyDescent="0.25">
      <c r="A26" s="56">
        <v>0.5</v>
      </c>
      <c r="B26" s="35" t="s">
        <v>217</v>
      </c>
      <c r="C26" s="48">
        <f>+C$27*(1+$A26+0.05*(C$25-$C$25))</f>
        <v>1.6500000000000001E-2</v>
      </c>
      <c r="D26" s="48">
        <f>+D$27*(1+$A26+0.05*(D$25-$C$25))</f>
        <v>4.6500000000000005E-3</v>
      </c>
      <c r="E26" s="48">
        <f t="shared" ref="E26:G26" si="9">+E$27*(1+$A26+0.05*(E$25-$C$25))</f>
        <v>9.6000000000000009E-3</v>
      </c>
      <c r="F26" s="48">
        <f t="shared" si="9"/>
        <v>1.4849999999999999E-2</v>
      </c>
      <c r="G26" s="48">
        <f t="shared" si="9"/>
        <v>2.3799999999999998E-2</v>
      </c>
      <c r="H26" s="48">
        <f>+AVERAGE(C26:G26)</f>
        <v>1.388E-2</v>
      </c>
      <c r="I26" s="90">
        <v>2.1000000000000001E-2</v>
      </c>
      <c r="J26" s="107">
        <f>+I26-$I$27</f>
        <v>7.000000000000001E-3</v>
      </c>
      <c r="M26" s="36"/>
      <c r="N26" s="36"/>
      <c r="O26" s="36"/>
      <c r="P26" s="36"/>
      <c r="Q26" s="36"/>
      <c r="R26" s="36"/>
      <c r="S26" s="97">
        <f>+W26-X26</f>
        <v>235807</v>
      </c>
      <c r="T26" s="98"/>
      <c r="U26" s="98"/>
      <c r="V26" s="98"/>
      <c r="W26" s="94">
        <v>249573</v>
      </c>
      <c r="X26" s="103">
        <v>13766</v>
      </c>
      <c r="Y26" s="93">
        <f>+X26/S26</f>
        <v>5.83782500095417E-2</v>
      </c>
    </row>
    <row r="27" spans="1:25" s="38" customFormat="1" x14ac:dyDescent="0.25">
      <c r="A27" s="57"/>
      <c r="B27" s="35" t="s">
        <v>2</v>
      </c>
      <c r="C27" s="48">
        <v>1.0999999999999999E-2</v>
      </c>
      <c r="D27" s="48">
        <v>3.0000000000000001E-3</v>
      </c>
      <c r="E27" s="48">
        <v>6.0000000000000001E-3</v>
      </c>
      <c r="F27" s="48">
        <v>8.9999999999999993E-3</v>
      </c>
      <c r="G27" s="48">
        <v>1.4E-2</v>
      </c>
      <c r="H27" s="48">
        <f>+AVERAGE(C27:G27)</f>
        <v>8.6E-3</v>
      </c>
      <c r="I27" s="90">
        <v>1.4E-2</v>
      </c>
      <c r="M27" s="36"/>
      <c r="N27" s="36"/>
      <c r="O27" s="36"/>
      <c r="P27" s="36"/>
      <c r="Q27" s="36"/>
      <c r="R27" s="36"/>
      <c r="S27" s="99">
        <f t="shared" ref="S27:S28" si="10">+W27-X27</f>
        <v>235807</v>
      </c>
      <c r="T27" s="100"/>
      <c r="U27" s="100"/>
      <c r="V27" s="100"/>
      <c r="W27" s="95">
        <v>246128</v>
      </c>
      <c r="X27" s="104">
        <v>10321</v>
      </c>
      <c r="Y27" s="93">
        <f t="shared" ref="Y27:Y28" si="11">+X27/S27</f>
        <v>4.3768844860415511E-2</v>
      </c>
    </row>
    <row r="28" spans="1:25" s="38" customFormat="1" x14ac:dyDescent="0.25">
      <c r="A28" s="56">
        <v>-0.3</v>
      </c>
      <c r="B28" s="35" t="s">
        <v>218</v>
      </c>
      <c r="C28" s="48">
        <f>+C$27*(1+$A28+0.05*(C$25-$C$25))</f>
        <v>7.6999999999999994E-3</v>
      </c>
      <c r="D28" s="48">
        <f>+D$27*(1+$A28-0.05*(D$25-$C$25))</f>
        <v>1.9499999999999997E-3</v>
      </c>
      <c r="E28" s="48">
        <f t="shared" ref="E28:G28" si="12">+E$27*(1+$A28-0.05*(E$25-$C$25))</f>
        <v>3.5999999999999999E-3</v>
      </c>
      <c r="F28" s="48">
        <f t="shared" si="12"/>
        <v>4.9499999999999987E-3</v>
      </c>
      <c r="G28" s="48">
        <f t="shared" si="12"/>
        <v>6.9999999999999993E-3</v>
      </c>
      <c r="H28" s="48">
        <f>+AVERAGE(C28:G28)</f>
        <v>5.0399999999999993E-3</v>
      </c>
      <c r="I28" s="90">
        <v>8.9999999999999993E-3</v>
      </c>
      <c r="J28" s="107">
        <f>+I28-$I$27</f>
        <v>-5.000000000000001E-3</v>
      </c>
      <c r="K28" s="40"/>
      <c r="L28" s="36"/>
      <c r="M28" s="36"/>
      <c r="N28" s="36"/>
      <c r="O28" s="36"/>
      <c r="P28" s="36"/>
      <c r="Q28" s="36"/>
      <c r="R28" s="36"/>
      <c r="S28" s="99">
        <f t="shared" si="10"/>
        <v>235807</v>
      </c>
      <c r="T28" s="100"/>
      <c r="U28" s="100"/>
      <c r="V28" s="100"/>
      <c r="W28" s="95">
        <v>242718</v>
      </c>
      <c r="X28" s="104">
        <v>6911</v>
      </c>
      <c r="Y28" s="93">
        <f t="shared" si="11"/>
        <v>2.9307866178696986E-2</v>
      </c>
    </row>
    <row r="29" spans="1:25" s="38" customFormat="1" ht="15.75" thickBot="1" x14ac:dyDescent="0.3">
      <c r="B29" s="108" t="s">
        <v>61</v>
      </c>
      <c r="C29" s="108"/>
      <c r="D29" s="39"/>
      <c r="E29" s="39"/>
      <c r="F29" s="39"/>
      <c r="G29" s="36"/>
      <c r="H29" s="40"/>
      <c r="I29" s="40"/>
      <c r="J29" s="40"/>
      <c r="K29" s="40"/>
      <c r="L29" s="36"/>
      <c r="M29" s="36"/>
      <c r="N29" s="36"/>
      <c r="O29" s="36"/>
      <c r="P29" s="36"/>
      <c r="Q29" s="36"/>
      <c r="R29" s="36"/>
      <c r="S29" s="101"/>
      <c r="T29" s="102"/>
      <c r="U29" s="102"/>
      <c r="V29" s="102"/>
      <c r="W29" s="96">
        <v>251014</v>
      </c>
      <c r="X29" s="106">
        <f>+W29-S28</f>
        <v>15207</v>
      </c>
      <c r="Y29" s="93">
        <f>+X29/S28</f>
        <v>6.4489179710525979E-2</v>
      </c>
    </row>
    <row r="30" spans="1:25" s="38" customFormat="1" x14ac:dyDescent="0.25"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</row>
    <row r="31" spans="1:25" x14ac:dyDescent="0.25">
      <c r="B31" s="26" t="s">
        <v>22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5" x14ac:dyDescent="0.25">
      <c r="B32" s="32" t="s">
        <v>53</v>
      </c>
      <c r="C32" s="27">
        <v>2005</v>
      </c>
      <c r="D32" s="27">
        <v>2006</v>
      </c>
      <c r="E32" s="27">
        <v>2007</v>
      </c>
      <c r="F32" s="27">
        <v>2008</v>
      </c>
      <c r="G32" s="27">
        <v>2009</v>
      </c>
      <c r="H32" s="27">
        <v>2010</v>
      </c>
      <c r="I32" s="27">
        <v>2011</v>
      </c>
      <c r="J32" s="27">
        <v>2012</v>
      </c>
      <c r="K32" s="27">
        <v>2013</v>
      </c>
      <c r="L32" s="27">
        <v>2014</v>
      </c>
      <c r="M32" s="27">
        <v>2015</v>
      </c>
      <c r="N32" s="27">
        <v>2016</v>
      </c>
      <c r="O32" s="27">
        <v>2017</v>
      </c>
      <c r="P32" s="27">
        <v>2018</v>
      </c>
      <c r="Q32" s="27">
        <v>2019</v>
      </c>
      <c r="R32" s="27">
        <v>2020</v>
      </c>
      <c r="S32" s="33">
        <v>2021</v>
      </c>
      <c r="T32" s="33">
        <v>2022</v>
      </c>
      <c r="U32" s="33">
        <v>2023</v>
      </c>
      <c r="V32" s="33">
        <v>2024</v>
      </c>
      <c r="W32" s="33">
        <v>2025</v>
      </c>
      <c r="X32" s="89" t="s">
        <v>214</v>
      </c>
    </row>
    <row r="33" spans="2:26" x14ac:dyDescent="0.25">
      <c r="B33" s="14" t="s">
        <v>3</v>
      </c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4">
        <v>233034</v>
      </c>
      <c r="S33" s="54">
        <f>+R$34*(1+C26)</f>
        <v>236879.06099999999</v>
      </c>
      <c r="T33" s="54">
        <f>+S33*(1+D26)</f>
        <v>237980.54863365</v>
      </c>
      <c r="U33" s="54">
        <f>+T33*(1+E26)</f>
        <v>240265.16190053304</v>
      </c>
      <c r="V33" s="54">
        <f t="shared" ref="V33:W33" si="13">+U33*(1+F26)</f>
        <v>243833.09955475596</v>
      </c>
      <c r="W33" s="54">
        <f t="shared" si="13"/>
        <v>249636.32732415915</v>
      </c>
      <c r="X33" s="25">
        <f>+W33-R33</f>
        <v>16602.327324159152</v>
      </c>
      <c r="Y33" s="93">
        <f>+X33/S33</f>
        <v>7.0087779198682115E-2</v>
      </c>
    </row>
    <row r="34" spans="2:26" x14ac:dyDescent="0.25">
      <c r="B34" s="14" t="s">
        <v>62</v>
      </c>
      <c r="C34" s="4">
        <v>184244</v>
      </c>
      <c r="D34" s="4">
        <v>187426</v>
      </c>
      <c r="E34" s="4">
        <v>191919</v>
      </c>
      <c r="F34" s="4">
        <v>197945</v>
      </c>
      <c r="G34" s="4">
        <v>201251</v>
      </c>
      <c r="H34" s="4">
        <v>200907</v>
      </c>
      <c r="I34" s="4">
        <v>202341</v>
      </c>
      <c r="J34" s="4">
        <v>203594</v>
      </c>
      <c r="K34" s="4">
        <v>205675</v>
      </c>
      <c r="L34" s="4">
        <v>208752</v>
      </c>
      <c r="M34" s="4">
        <v>211282</v>
      </c>
      <c r="N34" s="4">
        <v>213619</v>
      </c>
      <c r="O34" s="4">
        <v>216878</v>
      </c>
      <c r="P34" s="4">
        <v>222484</v>
      </c>
      <c r="Q34" s="4">
        <v>228231</v>
      </c>
      <c r="R34" s="4">
        <v>233034</v>
      </c>
      <c r="S34" s="54">
        <f>+R$34*(1+C27)</f>
        <v>235597.37399999998</v>
      </c>
      <c r="T34" s="54">
        <f>+S34*(1+D27)</f>
        <v>236304.16612199997</v>
      </c>
      <c r="U34" s="54">
        <f>+T34*(1+E27)</f>
        <v>237721.99111873197</v>
      </c>
      <c r="V34" s="54">
        <f>+U34*(1+F27)</f>
        <v>239861.48903880053</v>
      </c>
      <c r="W34" s="54">
        <f>+V34*(1+G27)</f>
        <v>243219.54988534373</v>
      </c>
      <c r="X34" s="25">
        <f t="shared" ref="X34:X35" si="14">+W34-R34</f>
        <v>10185.549885343731</v>
      </c>
      <c r="Y34" s="93">
        <f>+X34/S34</f>
        <v>4.3232866786298438E-2</v>
      </c>
      <c r="Z34" s="31"/>
    </row>
    <row r="35" spans="2:26" x14ac:dyDescent="0.25">
      <c r="B35" s="14" t="s">
        <v>0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>
        <v>233034</v>
      </c>
      <c r="S35" s="54">
        <f>+R$34*(1+C28)</f>
        <v>234828.36180000001</v>
      </c>
      <c r="T35" s="54">
        <f>+S35*(1+D28)</f>
        <v>235286.27710551</v>
      </c>
      <c r="U35" s="54">
        <f t="shared" ref="U35:W35" si="15">+T35*(1+E28)</f>
        <v>236133.30770308984</v>
      </c>
      <c r="V35" s="54">
        <f t="shared" si="15"/>
        <v>237302.16757622015</v>
      </c>
      <c r="W35" s="54">
        <f t="shared" si="15"/>
        <v>238963.28274925367</v>
      </c>
      <c r="X35" s="25">
        <f t="shared" si="14"/>
        <v>5929.2827492536744</v>
      </c>
      <c r="Y35" s="93">
        <f>+X35/S35</f>
        <v>2.5249431984299922E-2</v>
      </c>
    </row>
    <row r="36" spans="2:26" x14ac:dyDescent="0.25">
      <c r="B36" s="1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4"/>
      <c r="R36" s="4"/>
      <c r="S36" s="4"/>
      <c r="T36" s="4"/>
      <c r="U36" s="4"/>
      <c r="V36" s="4"/>
      <c r="W36" s="92">
        <v>251014</v>
      </c>
      <c r="X36" s="25">
        <f>+W36-$R$34</f>
        <v>17980</v>
      </c>
      <c r="Y36" s="93">
        <f>+X36/S34</f>
        <v>7.6316640099732186E-2</v>
      </c>
    </row>
    <row r="37" spans="2:26" x14ac:dyDescent="0.25">
      <c r="B37" s="30" t="s">
        <v>54</v>
      </c>
    </row>
    <row r="38" spans="2:26" x14ac:dyDescent="0.25">
      <c r="B38" s="30"/>
      <c r="Q38" s="49" t="s">
        <v>56</v>
      </c>
      <c r="R38" s="50"/>
      <c r="S38" s="50"/>
      <c r="T38" s="50"/>
      <c r="U38" s="50"/>
      <c r="V38" s="51"/>
      <c r="W38" s="52">
        <f>+(W$34-C$34)/C$34/20</f>
        <v>1.600474096452089E-2</v>
      </c>
      <c r="X38" s="53" t="s">
        <v>66</v>
      </c>
    </row>
    <row r="39" spans="2:26" x14ac:dyDescent="0.25">
      <c r="B39" s="26" t="s">
        <v>45</v>
      </c>
      <c r="C39" s="2"/>
    </row>
    <row r="40" spans="2:26" x14ac:dyDescent="0.25">
      <c r="B40" s="32" t="s">
        <v>37</v>
      </c>
      <c r="C40" s="34" t="s">
        <v>41</v>
      </c>
    </row>
    <row r="41" spans="2:26" s="38" customFormat="1" x14ac:dyDescent="0.25">
      <c r="B41" s="35" t="s">
        <v>38</v>
      </c>
      <c r="C41" s="43">
        <f>+MAX(H8:X8)</f>
        <v>2.6117236626755105</v>
      </c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/>
      <c r="Q41"/>
      <c r="R41" s="36"/>
      <c r="S41" s="36"/>
      <c r="T41" s="36"/>
      <c r="U41" s="36"/>
      <c r="V41" s="36"/>
      <c r="W41" s="36"/>
      <c r="X41" s="36"/>
    </row>
    <row r="42" spans="2:26" s="38" customFormat="1" x14ac:dyDescent="0.25">
      <c r="B42" s="35" t="s">
        <v>39</v>
      </c>
      <c r="C42" s="43">
        <f>+MIN(H8:X8)</f>
        <v>2.5072302144901677</v>
      </c>
      <c r="D42" s="47" t="s">
        <v>59</v>
      </c>
      <c r="E42" s="36"/>
      <c r="F42" s="36"/>
      <c r="G42" s="36"/>
      <c r="H42" s="36"/>
      <c r="I42" s="36"/>
      <c r="J42" s="36"/>
      <c r="K42" s="36"/>
      <c r="L42" s="36"/>
      <c r="M42" s="36"/>
      <c r="N42" s="36"/>
      <c r="O42"/>
      <c r="P42" s="4"/>
      <c r="Q42"/>
      <c r="R42" s="36"/>
      <c r="S42" s="22"/>
      <c r="T42" s="36"/>
      <c r="U42" s="36"/>
      <c r="V42" s="36"/>
      <c r="W42" s="36"/>
      <c r="X42" s="36"/>
    </row>
    <row r="43" spans="2:26" s="38" customFormat="1" x14ac:dyDescent="0.25">
      <c r="B43" s="44" t="s">
        <v>42</v>
      </c>
      <c r="C43" s="45">
        <f>+MEDIAN(H8:X8)</f>
        <v>2.5482421875000001</v>
      </c>
      <c r="D43" s="47" t="s">
        <v>63</v>
      </c>
      <c r="E43" s="36"/>
      <c r="F43" s="36"/>
      <c r="G43" s="36"/>
      <c r="H43" s="36"/>
      <c r="I43" s="36"/>
      <c r="J43" s="36"/>
      <c r="K43" s="36"/>
      <c r="L43" s="36"/>
      <c r="M43" s="36"/>
      <c r="N43" s="36"/>
      <c r="O43"/>
      <c r="P43" s="4"/>
      <c r="Q43"/>
      <c r="R43" s="36"/>
      <c r="S43" s="22"/>
      <c r="T43" s="36"/>
      <c r="U43" s="36"/>
      <c r="V43" s="36"/>
      <c r="W43" s="36"/>
      <c r="X43" s="36"/>
    </row>
    <row r="44" spans="2:26" x14ac:dyDescent="0.25">
      <c r="B44" s="58" t="s">
        <v>40</v>
      </c>
      <c r="C44" s="59">
        <v>2.5499999999999998</v>
      </c>
      <c r="O44"/>
      <c r="P44" s="22"/>
      <c r="Q44"/>
      <c r="S44" s="25"/>
    </row>
    <row r="45" spans="2:26" x14ac:dyDescent="0.25">
      <c r="B45" s="32" t="s">
        <v>44</v>
      </c>
      <c r="C45" s="27" t="s">
        <v>43</v>
      </c>
      <c r="O45"/>
      <c r="Q45"/>
    </row>
    <row r="46" spans="2:26" s="38" customFormat="1" x14ac:dyDescent="0.25">
      <c r="B46" s="35" t="s">
        <v>46</v>
      </c>
      <c r="C46" s="37">
        <v>90033</v>
      </c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/>
      <c r="Q46"/>
      <c r="R46" s="36"/>
      <c r="S46" s="36"/>
      <c r="T46" s="36"/>
      <c r="U46" s="36"/>
      <c r="V46" s="36"/>
      <c r="W46" s="36"/>
      <c r="X46" s="36"/>
    </row>
    <row r="47" spans="2:26" s="38" customFormat="1" x14ac:dyDescent="0.25">
      <c r="B47" s="46" t="s">
        <v>47</v>
      </c>
      <c r="C47" s="37">
        <f>+R34/C44</f>
        <v>91385.882352941189</v>
      </c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/>
      <c r="P47" s="29"/>
      <c r="Q47"/>
      <c r="R47" s="36"/>
      <c r="S47" s="36"/>
      <c r="T47" s="36"/>
      <c r="U47" s="36"/>
      <c r="V47" s="36"/>
      <c r="W47" s="36"/>
      <c r="X47" s="36"/>
    </row>
    <row r="48" spans="2:26" s="38" customFormat="1" x14ac:dyDescent="0.25">
      <c r="B48" s="35" t="s">
        <v>48</v>
      </c>
      <c r="C48" s="37">
        <f>+C47-C46</f>
        <v>1352.8823529411893</v>
      </c>
      <c r="D48" s="47" t="s">
        <v>64</v>
      </c>
      <c r="E48" s="36"/>
      <c r="F48" s="36"/>
      <c r="G48" s="36"/>
      <c r="H48" s="22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</row>
    <row r="49" spans="2:24" s="38" customFormat="1" x14ac:dyDescent="0.25">
      <c r="B49" s="35" t="s">
        <v>68</v>
      </c>
      <c r="C49" s="37">
        <v>2200</v>
      </c>
      <c r="D49" s="47"/>
      <c r="E49" s="36"/>
      <c r="F49" s="36"/>
      <c r="G49" s="36"/>
      <c r="H49" s="22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</row>
    <row r="51" spans="2:24" x14ac:dyDescent="0.25">
      <c r="B51" s="26" t="s">
        <v>57</v>
      </c>
      <c r="C51" s="60">
        <v>2.5299999999999998</v>
      </c>
      <c r="D51" s="26"/>
      <c r="E51" s="26"/>
      <c r="F51" s="26"/>
    </row>
    <row r="52" spans="2:24" x14ac:dyDescent="0.25">
      <c r="B52" s="32" t="s">
        <v>17</v>
      </c>
      <c r="C52" s="42" t="s">
        <v>34</v>
      </c>
      <c r="D52" s="42" t="s">
        <v>33</v>
      </c>
      <c r="E52" s="42" t="s">
        <v>35</v>
      </c>
      <c r="F52" s="42" t="s">
        <v>36</v>
      </c>
    </row>
    <row r="53" spans="2:24" s="38" customFormat="1" x14ac:dyDescent="0.25">
      <c r="B53" s="35" t="s">
        <v>3</v>
      </c>
      <c r="C53" s="37">
        <f>+(W33-S33)/$C$51</f>
        <v>5042.3977565846508</v>
      </c>
      <c r="D53" s="37">
        <v>2200</v>
      </c>
      <c r="E53" s="37">
        <f>+C53+D53</f>
        <v>7242.3977565846508</v>
      </c>
      <c r="F53" s="37">
        <f>+ROUND(E53,-2)</f>
        <v>7200</v>
      </c>
      <c r="G53" s="37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</row>
    <row r="54" spans="2:24" s="38" customFormat="1" x14ac:dyDescent="0.25">
      <c r="B54" s="35" t="s">
        <v>2</v>
      </c>
      <c r="C54" s="37">
        <f>+(W34-S34)/$C$51</f>
        <v>3012.717741242589</v>
      </c>
      <c r="D54" s="37">
        <v>2200</v>
      </c>
      <c r="E54" s="37">
        <f t="shared" ref="E54:E55" si="16">+C54+D54</f>
        <v>5212.717741242589</v>
      </c>
      <c r="F54" s="37">
        <f t="shared" ref="F54:F55" si="17">+ROUND(E54,-2)</f>
        <v>5200</v>
      </c>
      <c r="G54" s="37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</row>
    <row r="55" spans="2:24" s="38" customFormat="1" x14ac:dyDescent="0.25">
      <c r="B55" s="35" t="s">
        <v>0</v>
      </c>
      <c r="C55" s="37">
        <f>+(W35-S35)/$C$51</f>
        <v>1634.356106424372</v>
      </c>
      <c r="D55" s="37">
        <v>2200</v>
      </c>
      <c r="E55" s="37">
        <f t="shared" si="16"/>
        <v>3834.3561064243722</v>
      </c>
      <c r="F55" s="37">
        <f t="shared" si="17"/>
        <v>3800</v>
      </c>
      <c r="G55" s="37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</row>
    <row r="56" spans="2:24" s="38" customFormat="1" x14ac:dyDescent="0.25">
      <c r="C56" s="36"/>
      <c r="D56" s="36"/>
      <c r="E56" s="36"/>
      <c r="F56" s="36"/>
      <c r="G56" s="36"/>
      <c r="H56" s="36"/>
      <c r="I56" s="36"/>
      <c r="J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</row>
    <row r="57" spans="2:24" s="38" customFormat="1" x14ac:dyDescent="0.25">
      <c r="C57" s="36"/>
      <c r="D57" s="36"/>
      <c r="E57" s="36"/>
      <c r="F57" s="36"/>
      <c r="G57" s="36"/>
      <c r="H57" s="36"/>
      <c r="I57" s="36"/>
      <c r="J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</row>
    <row r="58" spans="2:24" x14ac:dyDescent="0.25">
      <c r="F58" s="36"/>
    </row>
    <row r="59" spans="2:24" x14ac:dyDescent="0.25">
      <c r="F59" s="36"/>
    </row>
    <row r="60" spans="2:24" x14ac:dyDescent="0.25">
      <c r="F60" s="36"/>
    </row>
  </sheetData>
  <mergeCells count="1">
    <mergeCell ref="B29:C29"/>
  </mergeCells>
  <conditionalFormatting sqref="C8:X8">
    <cfRule type="colorScale" priority="3">
      <colorScale>
        <cfvo type="min"/>
        <cfvo type="max"/>
        <color rgb="FFFCFCFF"/>
        <color rgb="FF63BE7B"/>
      </colorScale>
    </cfRule>
  </conditionalFormatting>
  <conditionalFormatting sqref="D10:X10">
    <cfRule type="colorScale" priority="2">
      <colorScale>
        <cfvo type="min"/>
        <cfvo type="max"/>
        <color rgb="FFFFEF9C"/>
        <color rgb="FF63BE7B"/>
      </colorScale>
    </cfRule>
  </conditionalFormatting>
  <conditionalFormatting sqref="F53:F55">
    <cfRule type="colorScale" priority="1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D3BA1-416F-4CD7-879C-34AC9CCF1C8D}">
  <dimension ref="B2:S11"/>
  <sheetViews>
    <sheetView showGridLines="0" zoomScale="115" zoomScaleNormal="115" workbookViewId="0">
      <selection activeCell="N17" sqref="N17"/>
    </sheetView>
  </sheetViews>
  <sheetFormatPr defaultRowHeight="15" x14ac:dyDescent="0.25"/>
  <cols>
    <col min="1" max="1" width="4.7109375" customWidth="1"/>
    <col min="2" max="2" width="26.7109375" customWidth="1"/>
    <col min="3" max="3" width="13.85546875" style="12" customWidth="1"/>
    <col min="4" max="4" width="9.7109375" style="12" customWidth="1"/>
    <col min="5" max="15" width="9.7109375" customWidth="1"/>
  </cols>
  <sheetData>
    <row r="2" spans="2:19" ht="39" x14ac:dyDescent="0.6">
      <c r="B2" s="1" t="s">
        <v>14</v>
      </c>
      <c r="E2" s="12"/>
    </row>
    <row r="4" spans="2:19" x14ac:dyDescent="0.25">
      <c r="B4" s="26" t="s">
        <v>58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2:19" x14ac:dyDescent="0.25">
      <c r="B5" s="32" t="s">
        <v>50</v>
      </c>
      <c r="C5" s="27">
        <v>2008</v>
      </c>
      <c r="D5" s="27">
        <v>2009</v>
      </c>
      <c r="E5" s="27">
        <v>2010</v>
      </c>
      <c r="F5" s="27">
        <v>2011</v>
      </c>
      <c r="G5" s="27">
        <v>2012</v>
      </c>
      <c r="H5" s="27">
        <v>2013</v>
      </c>
      <c r="I5" s="27">
        <v>2014</v>
      </c>
      <c r="J5" s="27">
        <v>2015</v>
      </c>
      <c r="K5" s="27">
        <v>2016</v>
      </c>
      <c r="L5" s="27">
        <v>2017</v>
      </c>
      <c r="M5" s="27">
        <v>2018</v>
      </c>
      <c r="N5" s="27">
        <v>2019</v>
      </c>
      <c r="O5" s="27">
        <v>2020</v>
      </c>
    </row>
    <row r="6" spans="2:19" x14ac:dyDescent="0.25">
      <c r="B6" t="s">
        <v>15</v>
      </c>
      <c r="C6" s="4">
        <v>212600</v>
      </c>
      <c r="D6" s="4">
        <v>191400</v>
      </c>
      <c r="E6" s="4">
        <v>189600</v>
      </c>
      <c r="F6" s="4">
        <v>193500</v>
      </c>
      <c r="G6" s="4">
        <v>195200</v>
      </c>
      <c r="H6" s="4">
        <v>199800</v>
      </c>
      <c r="I6" s="4">
        <v>205100</v>
      </c>
      <c r="J6" s="4">
        <v>210200</v>
      </c>
      <c r="K6" s="4">
        <v>218600</v>
      </c>
      <c r="L6" s="4">
        <v>228800</v>
      </c>
      <c r="M6" s="4">
        <v>235700</v>
      </c>
      <c r="N6" s="4">
        <v>234700</v>
      </c>
      <c r="O6" s="4">
        <v>221900</v>
      </c>
    </row>
    <row r="7" spans="2:19" x14ac:dyDescent="0.25">
      <c r="B7" t="s">
        <v>52</v>
      </c>
      <c r="C7"/>
      <c r="D7" s="4">
        <f>+D6-C6</f>
        <v>-21200</v>
      </c>
      <c r="E7" s="4">
        <f t="shared" ref="E7:O7" si="0">+E6-D6</f>
        <v>-1800</v>
      </c>
      <c r="F7" s="4">
        <f t="shared" si="0"/>
        <v>3900</v>
      </c>
      <c r="G7" s="4">
        <f t="shared" si="0"/>
        <v>1700</v>
      </c>
      <c r="H7" s="4">
        <f t="shared" si="0"/>
        <v>4600</v>
      </c>
      <c r="I7" s="4">
        <f t="shared" si="0"/>
        <v>5300</v>
      </c>
      <c r="J7" s="4">
        <f t="shared" si="0"/>
        <v>5100</v>
      </c>
      <c r="K7" s="4">
        <f t="shared" si="0"/>
        <v>8400</v>
      </c>
      <c r="L7" s="4">
        <f t="shared" si="0"/>
        <v>10200</v>
      </c>
      <c r="M7" s="4">
        <f t="shared" si="0"/>
        <v>6900</v>
      </c>
      <c r="N7" s="4">
        <f t="shared" si="0"/>
        <v>-1000</v>
      </c>
      <c r="O7" s="4">
        <f t="shared" si="0"/>
        <v>-12800</v>
      </c>
      <c r="R7" s="4"/>
      <c r="S7" s="3"/>
    </row>
    <row r="8" spans="2:19" x14ac:dyDescent="0.25">
      <c r="B8" s="14"/>
      <c r="C8"/>
      <c r="D8"/>
      <c r="R8" s="4"/>
    </row>
    <row r="9" spans="2:19" x14ac:dyDescent="0.25">
      <c r="B9" s="11" t="s">
        <v>16</v>
      </c>
      <c r="C9" s="13"/>
      <c r="D9" s="16"/>
    </row>
    <row r="10" spans="2:19" x14ac:dyDescent="0.25">
      <c r="B10" s="109" t="s">
        <v>51</v>
      </c>
      <c r="C10" s="13"/>
      <c r="D10" s="16"/>
    </row>
    <row r="11" spans="2:19" x14ac:dyDescent="0.25">
      <c r="B11" s="109"/>
    </row>
  </sheetData>
  <mergeCells count="1">
    <mergeCell ref="B10:B11"/>
  </mergeCells>
  <conditionalFormatting sqref="D7:O7">
    <cfRule type="colorScale" priority="1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91C7B-0A33-4848-9CA5-E256C1E11E5A}">
  <dimension ref="B2:J45"/>
  <sheetViews>
    <sheetView showGridLines="0" zoomScaleNormal="100" workbookViewId="0">
      <selection activeCell="I16" sqref="I16"/>
    </sheetView>
  </sheetViews>
  <sheetFormatPr defaultRowHeight="15" x14ac:dyDescent="0.25"/>
  <cols>
    <col min="1" max="2" width="4.7109375" customWidth="1"/>
    <col min="3" max="3" width="44.5703125" customWidth="1"/>
    <col min="4" max="6" width="11.7109375" customWidth="1"/>
    <col min="8" max="8" width="35.42578125" customWidth="1"/>
    <col min="9" max="10" width="17.5703125" customWidth="1"/>
    <col min="11" max="11" width="16.7109375" customWidth="1"/>
  </cols>
  <sheetData>
    <row r="2" spans="2:10" ht="39" x14ac:dyDescent="0.6">
      <c r="B2" s="1" t="s">
        <v>84</v>
      </c>
      <c r="C2" s="12"/>
      <c r="D2" s="12"/>
      <c r="E2" s="12"/>
    </row>
    <row r="4" spans="2:10" ht="18.75" x14ac:dyDescent="0.3">
      <c r="B4" s="74"/>
      <c r="C4" s="74" t="s">
        <v>78</v>
      </c>
      <c r="D4" s="74"/>
      <c r="E4" s="74"/>
      <c r="F4" s="74"/>
      <c r="H4" s="110" t="s">
        <v>86</v>
      </c>
      <c r="I4" s="110"/>
      <c r="J4" s="110"/>
    </row>
    <row r="5" spans="2:10" x14ac:dyDescent="0.25">
      <c r="B5" s="66"/>
      <c r="C5" s="61" t="s">
        <v>69</v>
      </c>
      <c r="D5" s="61" t="s">
        <v>175</v>
      </c>
      <c r="E5" s="66" t="s">
        <v>177</v>
      </c>
      <c r="F5" s="66" t="s">
        <v>13</v>
      </c>
      <c r="H5" s="61"/>
      <c r="I5" s="61" t="s">
        <v>85</v>
      </c>
      <c r="J5" s="61" t="s">
        <v>213</v>
      </c>
    </row>
    <row r="6" spans="2:10" ht="15.75" x14ac:dyDescent="0.25">
      <c r="B6" s="67"/>
      <c r="C6" s="62" t="s">
        <v>70</v>
      </c>
      <c r="D6" s="71">
        <f>+ibudasvaedi_samgongur!E65</f>
        <v>4500</v>
      </c>
      <c r="E6" s="71">
        <f>+ibudasvaedi_samgongur!J65</f>
        <v>3207</v>
      </c>
      <c r="F6" s="72">
        <f>+ibudasvaedi_samgongur!K65</f>
        <v>0.71266666666666667</v>
      </c>
      <c r="H6" s="62" t="s">
        <v>87</v>
      </c>
      <c r="I6" s="72">
        <f>+F6</f>
        <v>0.71266666666666667</v>
      </c>
      <c r="J6" s="72">
        <f>100%-I6</f>
        <v>0.28733333333333333</v>
      </c>
    </row>
    <row r="7" spans="2:10" ht="15.75" x14ac:dyDescent="0.25">
      <c r="B7" s="68"/>
      <c r="C7" s="63" t="s">
        <v>71</v>
      </c>
      <c r="D7" s="71">
        <f>+ibudasvaedi_samgongur!E66</f>
        <v>1511</v>
      </c>
      <c r="E7" s="71">
        <f>+ibudasvaedi_samgongur!J66</f>
        <v>1307</v>
      </c>
      <c r="F7" s="72">
        <f>+ibudasvaedi_samgongur!K66</f>
        <v>0.8649900727994706</v>
      </c>
      <c r="H7" s="62" t="s">
        <v>88</v>
      </c>
      <c r="I7" s="72">
        <f t="shared" ref="I7:I11" si="0">+F7</f>
        <v>0.8649900727994706</v>
      </c>
      <c r="J7" s="72">
        <f t="shared" ref="J7:J13" si="1">100%-I7</f>
        <v>0.1350099272005294</v>
      </c>
    </row>
    <row r="8" spans="2:10" ht="15.75" x14ac:dyDescent="0.25">
      <c r="B8" s="68"/>
      <c r="C8" s="63" t="s">
        <v>72</v>
      </c>
      <c r="D8" s="71">
        <f>+ibudasvaedi_samgongur!E67</f>
        <v>80</v>
      </c>
      <c r="E8" s="71">
        <f>+ibudasvaedi_samgongur!J67</f>
        <v>0</v>
      </c>
      <c r="F8" s="72">
        <f>+ibudasvaedi_samgongur!K67</f>
        <v>0</v>
      </c>
      <c r="H8" s="62" t="s">
        <v>89</v>
      </c>
      <c r="I8" s="72">
        <f t="shared" si="0"/>
        <v>0</v>
      </c>
      <c r="J8" s="72">
        <f t="shared" si="1"/>
        <v>1</v>
      </c>
    </row>
    <row r="9" spans="2:10" ht="15.75" x14ac:dyDescent="0.25">
      <c r="B9" s="68"/>
      <c r="C9" s="63" t="s">
        <v>73</v>
      </c>
      <c r="D9" s="71">
        <f>+ibudasvaedi_samgongur!E68</f>
        <v>1260</v>
      </c>
      <c r="E9" s="71">
        <f>+ibudasvaedi_samgongur!J68</f>
        <v>349</v>
      </c>
      <c r="F9" s="72">
        <f>+ibudasvaedi_samgongur!K68</f>
        <v>0.276984126984127</v>
      </c>
      <c r="H9" s="62" t="s">
        <v>90</v>
      </c>
      <c r="I9" s="72">
        <f t="shared" si="0"/>
        <v>0.276984126984127</v>
      </c>
      <c r="J9" s="72">
        <f t="shared" si="1"/>
        <v>0.723015873015873</v>
      </c>
    </row>
    <row r="10" spans="2:10" ht="15.75" x14ac:dyDescent="0.25">
      <c r="B10" s="68"/>
      <c r="C10" s="63" t="s">
        <v>74</v>
      </c>
      <c r="D10" s="71">
        <f>+ibudasvaedi_samgongur!E69</f>
        <v>719</v>
      </c>
      <c r="E10" s="71">
        <f>+ibudasvaedi_samgongur!J69</f>
        <v>405</v>
      </c>
      <c r="F10" s="72">
        <f>+ibudasvaedi_samgongur!K69</f>
        <v>0.5632823365785814</v>
      </c>
      <c r="H10" s="62" t="s">
        <v>91</v>
      </c>
      <c r="I10" s="72">
        <f t="shared" si="0"/>
        <v>0.5632823365785814</v>
      </c>
      <c r="J10" s="72">
        <f t="shared" si="1"/>
        <v>0.4367176634214186</v>
      </c>
    </row>
    <row r="11" spans="2:10" ht="15.75" x14ac:dyDescent="0.25">
      <c r="B11" s="69"/>
      <c r="C11" s="64" t="s">
        <v>75</v>
      </c>
      <c r="D11" s="75">
        <f>+ibudasvaedi_samgongur!E70</f>
        <v>514</v>
      </c>
      <c r="E11" s="75">
        <f>+ibudasvaedi_samgongur!J70</f>
        <v>361</v>
      </c>
      <c r="F11" s="76">
        <f>+ibudasvaedi_samgongur!K70</f>
        <v>0.7023346303501945</v>
      </c>
      <c r="H11" s="64" t="s">
        <v>92</v>
      </c>
      <c r="I11" s="76">
        <f t="shared" si="0"/>
        <v>0.7023346303501945</v>
      </c>
      <c r="J11" s="76">
        <f t="shared" si="1"/>
        <v>0.2976653696498055</v>
      </c>
    </row>
    <row r="12" spans="2:10" ht="15.75" x14ac:dyDescent="0.25">
      <c r="B12" s="70"/>
      <c r="C12" s="65" t="s">
        <v>79</v>
      </c>
      <c r="D12" s="4">
        <f>SUM(D6:D11)</f>
        <v>8584</v>
      </c>
      <c r="E12" s="4">
        <f>SUM(E6:E11)</f>
        <v>5629</v>
      </c>
      <c r="F12" s="77">
        <f>+ibudasvaedi_samgongur!K71</f>
        <v>0.65575489282385835</v>
      </c>
      <c r="H12" s="78" t="s">
        <v>93</v>
      </c>
      <c r="I12" s="77">
        <f>+F12</f>
        <v>0.65575489282385835</v>
      </c>
      <c r="J12" s="80">
        <f t="shared" si="1"/>
        <v>0.34424510717614165</v>
      </c>
    </row>
    <row r="13" spans="2:10" ht="15.75" x14ac:dyDescent="0.25">
      <c r="C13" s="78" t="s">
        <v>81</v>
      </c>
      <c r="F13" s="77">
        <v>0.66</v>
      </c>
      <c r="H13" s="78" t="s">
        <v>94</v>
      </c>
      <c r="I13" s="77">
        <f>+F13</f>
        <v>0.66</v>
      </c>
      <c r="J13" s="80">
        <f t="shared" si="1"/>
        <v>0.33999999999999997</v>
      </c>
    </row>
    <row r="14" spans="2:10" ht="15.75" x14ac:dyDescent="0.25">
      <c r="C14" s="78" t="s">
        <v>82</v>
      </c>
      <c r="F14" s="77">
        <v>0.56000000000000005</v>
      </c>
      <c r="H14" s="78" t="s">
        <v>219</v>
      </c>
      <c r="I14" s="77">
        <v>0.3</v>
      </c>
      <c r="J14" s="80">
        <f t="shared" ref="J14" si="2">100%-I14</f>
        <v>0.7</v>
      </c>
    </row>
    <row r="15" spans="2:10" x14ac:dyDescent="0.25">
      <c r="C15" s="78" t="s">
        <v>176</v>
      </c>
    </row>
    <row r="33" spans="2:10" s="81" customFormat="1" ht="15.75" thickBot="1" x14ac:dyDescent="0.3"/>
    <row r="35" spans="2:10" ht="18.75" x14ac:dyDescent="0.3">
      <c r="B35" s="74"/>
      <c r="C35" s="74" t="s">
        <v>83</v>
      </c>
      <c r="D35" s="74"/>
      <c r="E35" s="74"/>
      <c r="F35" s="74"/>
      <c r="H35" s="110" t="s">
        <v>86</v>
      </c>
      <c r="I35" s="110"/>
      <c r="J35" s="110"/>
    </row>
    <row r="36" spans="2:10" x14ac:dyDescent="0.25">
      <c r="B36" s="66"/>
      <c r="C36" s="61" t="s">
        <v>69</v>
      </c>
      <c r="D36" s="61" t="s">
        <v>80</v>
      </c>
      <c r="E36" s="66" t="s">
        <v>77</v>
      </c>
      <c r="F36" s="66" t="s">
        <v>13</v>
      </c>
      <c r="H36" s="61"/>
      <c r="I36" s="61" t="s">
        <v>85</v>
      </c>
      <c r="J36" s="61" t="s">
        <v>213</v>
      </c>
    </row>
    <row r="37" spans="2:10" ht="15.75" x14ac:dyDescent="0.25">
      <c r="B37" s="67"/>
      <c r="C37" s="62" t="s">
        <v>70</v>
      </c>
      <c r="D37" s="71">
        <f>+atvinnusvaedi_samgongur!E57</f>
        <v>259588</v>
      </c>
      <c r="E37" s="71">
        <f>+atvinnusvaedi_samgongur!J57</f>
        <v>188865</v>
      </c>
      <c r="F37" s="72">
        <f>+E37/D37</f>
        <v>0.72755674376319401</v>
      </c>
      <c r="H37" s="62" t="s">
        <v>95</v>
      </c>
      <c r="I37" s="72">
        <f>+F37</f>
        <v>0.72755674376319401</v>
      </c>
      <c r="J37" s="72">
        <f>100%-I37</f>
        <v>0.27244325623680599</v>
      </c>
    </row>
    <row r="38" spans="2:10" ht="15.75" x14ac:dyDescent="0.25">
      <c r="B38" s="68"/>
      <c r="C38" s="63" t="s">
        <v>71</v>
      </c>
      <c r="D38" s="73">
        <f>+atvinnusvaedi_samgongur!E58</f>
        <v>22300</v>
      </c>
      <c r="E38" s="73">
        <f>+atvinnusvaedi_samgongur!J58</f>
        <v>12170</v>
      </c>
      <c r="F38" s="72">
        <f t="shared" ref="F38:F43" si="3">+E38/D38</f>
        <v>0.54573991031390134</v>
      </c>
      <c r="H38" s="62" t="s">
        <v>96</v>
      </c>
      <c r="I38" s="72">
        <f t="shared" ref="I38:I43" si="4">+F38</f>
        <v>0.54573991031390134</v>
      </c>
      <c r="J38" s="72">
        <f t="shared" ref="J38:J43" si="5">100%-I38</f>
        <v>0.45426008968609866</v>
      </c>
    </row>
    <row r="39" spans="2:10" ht="15.75" x14ac:dyDescent="0.25">
      <c r="B39" s="68"/>
      <c r="C39" s="63" t="s">
        <v>72</v>
      </c>
      <c r="D39" s="73">
        <f>+atvinnusvaedi_samgongur!E59</f>
        <v>0</v>
      </c>
      <c r="E39" s="73">
        <f>+atvinnusvaedi_samgongur!J59</f>
        <v>0</v>
      </c>
      <c r="F39" s="72"/>
      <c r="H39" s="62" t="s">
        <v>97</v>
      </c>
      <c r="I39" s="72">
        <f t="shared" si="4"/>
        <v>0</v>
      </c>
      <c r="J39" s="72">
        <f t="shared" si="5"/>
        <v>1</v>
      </c>
    </row>
    <row r="40" spans="2:10" ht="15.75" x14ac:dyDescent="0.25">
      <c r="B40" s="68"/>
      <c r="C40" s="63" t="s">
        <v>73</v>
      </c>
      <c r="D40" s="73">
        <f>+atvinnusvaedi_samgongur!E60</f>
        <v>31300</v>
      </c>
      <c r="E40" s="73">
        <f>+atvinnusvaedi_samgongur!J60</f>
        <v>28521</v>
      </c>
      <c r="F40" s="72">
        <f t="shared" si="3"/>
        <v>0.91121405750798723</v>
      </c>
      <c r="H40" s="62" t="s">
        <v>98</v>
      </c>
      <c r="I40" s="72">
        <f t="shared" si="4"/>
        <v>0.91121405750798723</v>
      </c>
      <c r="J40" s="72">
        <f t="shared" si="5"/>
        <v>8.878594249201277E-2</v>
      </c>
    </row>
    <row r="41" spans="2:10" ht="15.75" x14ac:dyDescent="0.25">
      <c r="B41" s="68"/>
      <c r="C41" s="63" t="s">
        <v>74</v>
      </c>
      <c r="D41" s="73">
        <f>+atvinnusvaedi_samgongur!E61</f>
        <v>66000</v>
      </c>
      <c r="E41" s="73">
        <f>+atvinnusvaedi_samgongur!J61</f>
        <v>20645</v>
      </c>
      <c r="F41" s="72">
        <f t="shared" si="3"/>
        <v>0.3128030303030303</v>
      </c>
      <c r="H41" s="62" t="s">
        <v>99</v>
      </c>
      <c r="I41" s="72">
        <f t="shared" si="4"/>
        <v>0.3128030303030303</v>
      </c>
      <c r="J41" s="72">
        <f t="shared" si="5"/>
        <v>0.68719696969696975</v>
      </c>
    </row>
    <row r="42" spans="2:10" ht="15.75" x14ac:dyDescent="0.25">
      <c r="B42" s="69"/>
      <c r="C42" s="64" t="s">
        <v>75</v>
      </c>
      <c r="D42" s="75">
        <f>+atvinnusvaedi_samgongur!E62</f>
        <v>54143</v>
      </c>
      <c r="E42" s="75">
        <f>+atvinnusvaedi_samgongur!J62</f>
        <v>25323</v>
      </c>
      <c r="F42" s="76">
        <f t="shared" si="3"/>
        <v>0.46770588995807399</v>
      </c>
      <c r="H42" s="64" t="s">
        <v>100</v>
      </c>
      <c r="I42" s="76">
        <f t="shared" si="4"/>
        <v>0.46770588995807399</v>
      </c>
      <c r="J42" s="76">
        <f t="shared" si="5"/>
        <v>0.53229411004192606</v>
      </c>
    </row>
    <row r="43" spans="2:10" ht="15.75" x14ac:dyDescent="0.25">
      <c r="C43" s="65" t="s">
        <v>79</v>
      </c>
      <c r="D43" s="4">
        <f>SUM(D37:D42)</f>
        <v>433331</v>
      </c>
      <c r="E43" s="4">
        <f>SUM(E37:E42)</f>
        <v>275524</v>
      </c>
      <c r="F43" s="77">
        <f t="shared" si="3"/>
        <v>0.63582803907405661</v>
      </c>
      <c r="H43" s="78" t="s">
        <v>101</v>
      </c>
      <c r="I43" s="79">
        <f t="shared" si="4"/>
        <v>0.63582803907405661</v>
      </c>
      <c r="J43" s="80">
        <f t="shared" si="5"/>
        <v>0.36417196092594339</v>
      </c>
    </row>
    <row r="44" spans="2:10" ht="15.75" x14ac:dyDescent="0.25">
      <c r="C44" s="78" t="s">
        <v>81</v>
      </c>
      <c r="I44" s="79"/>
      <c r="J44" s="80"/>
    </row>
    <row r="45" spans="2:10" x14ac:dyDescent="0.25">
      <c r="C45" s="78" t="s">
        <v>82</v>
      </c>
    </row>
  </sheetData>
  <mergeCells count="2">
    <mergeCell ref="H4:J4"/>
    <mergeCell ref="H35:J35"/>
  </mergeCells>
  <phoneticPr fontId="19" type="noConversion"/>
  <pageMargins left="0.7" right="0.7" top="0.75" bottom="0.75" header="0.3" footer="0.3"/>
  <pageSetup paperSize="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6A88C-6531-45EB-B3C1-440A36478D32}">
  <dimension ref="B2:BG16"/>
  <sheetViews>
    <sheetView topLeftCell="V1" zoomScale="115" zoomScaleNormal="115" workbookViewId="0">
      <selection activeCell="Y18" sqref="Y18"/>
    </sheetView>
  </sheetViews>
  <sheetFormatPr defaultRowHeight="15" x14ac:dyDescent="0.25"/>
  <cols>
    <col min="1" max="1" width="4.7109375" customWidth="1"/>
    <col min="2" max="2" width="26.7109375" customWidth="1"/>
    <col min="3" max="3" width="13.85546875" style="12" customWidth="1"/>
    <col min="4" max="4" width="7.85546875" style="12" customWidth="1"/>
    <col min="5" max="5" width="9.140625" style="12"/>
    <col min="6" max="6" width="34" bestFit="1" customWidth="1"/>
    <col min="8" max="23" width="9.140625" style="17"/>
    <col min="40" max="59" width="9.140625" style="17"/>
  </cols>
  <sheetData>
    <row r="2" spans="2:59" x14ac:dyDescent="0.25">
      <c r="S2" s="18"/>
      <c r="AM2" s="4"/>
      <c r="AN2" s="18"/>
      <c r="BG2" s="18"/>
    </row>
    <row r="4" spans="2:59" x14ac:dyDescent="0.25">
      <c r="B4" t="s">
        <v>6</v>
      </c>
      <c r="C4" s="12" t="s">
        <v>12</v>
      </c>
      <c r="D4" s="12" t="s">
        <v>13</v>
      </c>
      <c r="F4" s="11" t="s">
        <v>5</v>
      </c>
      <c r="H4" s="19">
        <v>1999</v>
      </c>
      <c r="I4" s="19">
        <v>2000</v>
      </c>
      <c r="J4" s="19">
        <v>2001</v>
      </c>
      <c r="K4" s="19">
        <v>2002</v>
      </c>
      <c r="L4" s="19">
        <v>2003</v>
      </c>
      <c r="M4" s="19">
        <v>2004</v>
      </c>
      <c r="N4" s="19">
        <v>2005</v>
      </c>
      <c r="O4" s="19">
        <v>2006</v>
      </c>
      <c r="P4" s="19">
        <v>2007</v>
      </c>
      <c r="Q4" s="19">
        <v>2008</v>
      </c>
      <c r="R4" s="19">
        <v>2009</v>
      </c>
      <c r="S4" s="19">
        <v>2010</v>
      </c>
      <c r="T4" s="19">
        <v>2011</v>
      </c>
      <c r="U4" s="19">
        <v>2012</v>
      </c>
      <c r="V4" s="19">
        <v>2013</v>
      </c>
      <c r="W4" s="19">
        <v>2014</v>
      </c>
      <c r="X4" s="15">
        <v>2015</v>
      </c>
      <c r="Y4" s="15">
        <v>2016</v>
      </c>
      <c r="Z4" s="15">
        <v>2017</v>
      </c>
      <c r="AA4" s="15">
        <v>2018</v>
      </c>
      <c r="AB4" s="15">
        <v>2019</v>
      </c>
      <c r="AC4" s="15">
        <v>2020</v>
      </c>
      <c r="AD4" s="15">
        <v>2021</v>
      </c>
      <c r="AE4" s="15">
        <v>2022</v>
      </c>
      <c r="AF4" s="15">
        <v>2023</v>
      </c>
      <c r="AG4" s="15">
        <v>2024</v>
      </c>
      <c r="AH4" s="15">
        <v>2025</v>
      </c>
      <c r="AI4" s="15">
        <v>2026</v>
      </c>
      <c r="AJ4" s="15">
        <v>2027</v>
      </c>
      <c r="AK4" s="15">
        <v>2028</v>
      </c>
      <c r="AL4" s="15">
        <v>2029</v>
      </c>
      <c r="AM4" s="15">
        <v>2030</v>
      </c>
      <c r="AN4" s="19">
        <v>2031</v>
      </c>
      <c r="AO4" s="19">
        <v>2032</v>
      </c>
      <c r="AP4" s="19">
        <v>2033</v>
      </c>
      <c r="AQ4" s="19">
        <v>2034</v>
      </c>
      <c r="AR4" s="19">
        <v>2035</v>
      </c>
      <c r="AS4" s="19">
        <v>2036</v>
      </c>
      <c r="AT4" s="19">
        <v>2037</v>
      </c>
      <c r="AU4" s="19">
        <v>2038</v>
      </c>
      <c r="AV4" s="19">
        <v>2039</v>
      </c>
      <c r="AW4" s="19">
        <v>2040</v>
      </c>
      <c r="AX4" s="19">
        <v>2041</v>
      </c>
      <c r="AY4" s="19">
        <v>2042</v>
      </c>
      <c r="AZ4" s="19">
        <v>2043</v>
      </c>
      <c r="BA4" s="19">
        <v>2044</v>
      </c>
      <c r="BB4" s="19">
        <v>2045</v>
      </c>
      <c r="BC4" s="19">
        <v>2046</v>
      </c>
      <c r="BD4" s="19">
        <v>2047</v>
      </c>
      <c r="BE4" s="19">
        <v>2048</v>
      </c>
      <c r="BF4" s="19">
        <v>2049</v>
      </c>
      <c r="BG4" s="19">
        <v>2050</v>
      </c>
    </row>
    <row r="5" spans="2:59" x14ac:dyDescent="0.25">
      <c r="B5" s="14" t="s">
        <v>7</v>
      </c>
      <c r="C5" s="13">
        <f>+(AB6-H6)/20</f>
        <v>2994.35</v>
      </c>
      <c r="F5" s="5"/>
      <c r="G5" s="5" t="s">
        <v>0</v>
      </c>
      <c r="H5" s="18">
        <f t="shared" ref="H5:AA5" si="0">+H6</f>
        <v>168344</v>
      </c>
      <c r="I5" s="18">
        <f t="shared" si="0"/>
        <v>171792</v>
      </c>
      <c r="J5" s="18">
        <f t="shared" si="0"/>
        <v>175427</v>
      </c>
      <c r="K5" s="18">
        <f t="shared" si="0"/>
        <v>178301</v>
      </c>
      <c r="L5" s="18">
        <f t="shared" si="0"/>
        <v>179992</v>
      </c>
      <c r="M5" s="18">
        <f t="shared" si="0"/>
        <v>181917</v>
      </c>
      <c r="N5" s="18">
        <f t="shared" si="0"/>
        <v>184244</v>
      </c>
      <c r="O5" s="18">
        <f t="shared" si="0"/>
        <v>187426</v>
      </c>
      <c r="P5" s="18">
        <f t="shared" si="0"/>
        <v>191919</v>
      </c>
      <c r="Q5" s="18">
        <f t="shared" si="0"/>
        <v>197945</v>
      </c>
      <c r="R5" s="18">
        <f t="shared" si="0"/>
        <v>201251</v>
      </c>
      <c r="S5" s="18">
        <f t="shared" si="0"/>
        <v>200907</v>
      </c>
      <c r="T5" s="18">
        <f t="shared" si="0"/>
        <v>202341</v>
      </c>
      <c r="U5" s="18">
        <f t="shared" si="0"/>
        <v>203594</v>
      </c>
      <c r="V5" s="18">
        <f t="shared" si="0"/>
        <v>205675</v>
      </c>
      <c r="W5" s="18">
        <f t="shared" si="0"/>
        <v>208752</v>
      </c>
      <c r="X5" s="4">
        <f t="shared" si="0"/>
        <v>211282</v>
      </c>
      <c r="Y5" s="4">
        <f t="shared" si="0"/>
        <v>213619</v>
      </c>
      <c r="Z5" s="4">
        <f t="shared" si="0"/>
        <v>216878</v>
      </c>
      <c r="AA5" s="4">
        <f t="shared" si="0"/>
        <v>222484</v>
      </c>
      <c r="AB5" s="4">
        <f>+AB6</f>
        <v>228231</v>
      </c>
      <c r="AC5" s="4">
        <v>233034</v>
      </c>
      <c r="AD5" s="4">
        <v>236168.57452153976</v>
      </c>
      <c r="AE5" s="4">
        <v>239507.56100722839</v>
      </c>
      <c r="AF5" s="4">
        <v>242539.13146555284</v>
      </c>
      <c r="AG5" s="4">
        <v>245262.65360936403</v>
      </c>
      <c r="AH5" s="4">
        <v>244318.84442548556</v>
      </c>
      <c r="AI5" s="4">
        <v>243171.16852125933</v>
      </c>
      <c r="AJ5" s="4">
        <v>241816.70766049641</v>
      </c>
      <c r="AK5" s="4">
        <v>240254.00842378678</v>
      </c>
      <c r="AL5" s="4">
        <v>238300.04226005578</v>
      </c>
      <c r="AM5" s="4">
        <v>239991.41208383846</v>
      </c>
      <c r="AN5" s="18">
        <v>241128.76721183502</v>
      </c>
      <c r="AO5" s="18">
        <v>242214.15791524833</v>
      </c>
      <c r="AP5" s="18">
        <v>243240.46971084134</v>
      </c>
      <c r="AQ5" s="18">
        <v>244233.72416827516</v>
      </c>
      <c r="AR5" s="18">
        <v>245184.62464118085</v>
      </c>
      <c r="AS5" s="18">
        <v>246107.52009524652</v>
      </c>
      <c r="AT5" s="18">
        <v>246993.25719130685</v>
      </c>
      <c r="AU5" s="18">
        <v>247851.04717486279</v>
      </c>
      <c r="AV5" s="18">
        <v>248673.87058603269</v>
      </c>
      <c r="AW5" s="18">
        <v>249451.66633819116</v>
      </c>
      <c r="AX5" s="18">
        <v>250184.81657444872</v>
      </c>
      <c r="AY5" s="18">
        <v>250868.92976524946</v>
      </c>
      <c r="AZ5" s="18">
        <v>251492.83798314308</v>
      </c>
      <c r="BA5" s="18">
        <v>252042.71537949966</v>
      </c>
      <c r="BB5" s="18">
        <v>252528.01615839289</v>
      </c>
      <c r="BC5" s="18">
        <v>252925.91667032236</v>
      </c>
      <c r="BD5" s="18">
        <v>253257.16290316114</v>
      </c>
      <c r="BE5" s="18">
        <v>253502.64180779152</v>
      </c>
      <c r="BF5" s="18">
        <v>253673.17415059588</v>
      </c>
      <c r="BG5" s="18">
        <v>253775.79520844534</v>
      </c>
    </row>
    <row r="6" spans="2:59" x14ac:dyDescent="0.25">
      <c r="B6" t="s">
        <v>11</v>
      </c>
      <c r="F6" s="6" t="s">
        <v>1</v>
      </c>
      <c r="G6" s="7" t="s">
        <v>2</v>
      </c>
      <c r="H6" s="20">
        <v>168344</v>
      </c>
      <c r="I6" s="20">
        <v>171792</v>
      </c>
      <c r="J6" s="20">
        <v>175427</v>
      </c>
      <c r="K6" s="20">
        <v>178301</v>
      </c>
      <c r="L6" s="20">
        <v>179992</v>
      </c>
      <c r="M6" s="20">
        <v>181917</v>
      </c>
      <c r="N6" s="20">
        <v>184244</v>
      </c>
      <c r="O6" s="20">
        <v>187426</v>
      </c>
      <c r="P6" s="20">
        <v>191919</v>
      </c>
      <c r="Q6" s="20">
        <v>197945</v>
      </c>
      <c r="R6" s="20">
        <v>201251</v>
      </c>
      <c r="S6" s="20">
        <v>200907</v>
      </c>
      <c r="T6" s="20">
        <v>202341</v>
      </c>
      <c r="U6" s="20">
        <v>203594</v>
      </c>
      <c r="V6" s="20">
        <v>205675</v>
      </c>
      <c r="W6" s="20">
        <v>208752</v>
      </c>
      <c r="X6" s="7">
        <v>211282</v>
      </c>
      <c r="Y6" s="7">
        <v>213619</v>
      </c>
      <c r="Z6" s="7">
        <v>216878</v>
      </c>
      <c r="AA6" s="7">
        <v>222484</v>
      </c>
      <c r="AB6" s="7">
        <v>228231</v>
      </c>
      <c r="AC6" s="7">
        <v>233034</v>
      </c>
      <c r="AD6" s="7">
        <v>237692.10538858149</v>
      </c>
      <c r="AE6" s="7">
        <v>242445.06345860634</v>
      </c>
      <c r="AF6" s="7">
        <v>247098.00700536137</v>
      </c>
      <c r="AG6" s="7">
        <v>252102.68910265627</v>
      </c>
      <c r="AH6" s="7">
        <v>251960.6548092248</v>
      </c>
      <c r="AI6" s="7">
        <v>251625.97654951137</v>
      </c>
      <c r="AJ6" s="7">
        <v>251083.60556170146</v>
      </c>
      <c r="AK6" s="7">
        <v>250331.54551248229</v>
      </c>
      <c r="AL6" s="7">
        <v>249195.3161219591</v>
      </c>
      <c r="AM6" s="7">
        <v>251739.43291984216</v>
      </c>
      <c r="AN6" s="20">
        <v>253715.72307510296</v>
      </c>
      <c r="AO6" s="20">
        <v>255643.89981758597</v>
      </c>
      <c r="AP6" s="20">
        <v>257510.0991601533</v>
      </c>
      <c r="AQ6" s="20">
        <v>259337.95483867032</v>
      </c>
      <c r="AR6" s="20">
        <v>261111.84082131725</v>
      </c>
      <c r="AS6" s="20">
        <v>262855.12499985157</v>
      </c>
      <c r="AT6" s="20">
        <v>264558.77029763412</v>
      </c>
      <c r="AU6" s="20">
        <v>266222.39729924535</v>
      </c>
      <c r="AV6" s="20">
        <v>267848.97468719707</v>
      </c>
      <c r="AW6" s="20">
        <v>269426.87556789344</v>
      </c>
      <c r="AX6" s="20">
        <v>270966.55516595644</v>
      </c>
      <c r="AY6" s="20">
        <v>272463.46152497915</v>
      </c>
      <c r="AZ6" s="20">
        <v>273908.91482281365</v>
      </c>
      <c r="BA6" s="20">
        <v>275293.50357997586</v>
      </c>
      <c r="BB6" s="20">
        <v>276625.01295473601</v>
      </c>
      <c r="BC6" s="20">
        <v>277897.66426379752</v>
      </c>
      <c r="BD6" s="20">
        <v>279116.34145111917</v>
      </c>
      <c r="BE6" s="20">
        <v>280292.09650449484</v>
      </c>
      <c r="BF6" s="20">
        <v>281413.80430047133</v>
      </c>
      <c r="BG6" s="20">
        <v>282495.94709381211</v>
      </c>
    </row>
    <row r="7" spans="2:59" x14ac:dyDescent="0.25">
      <c r="B7" s="14" t="s">
        <v>10</v>
      </c>
      <c r="C7" s="13">
        <f>+(AG5-AC5)/4</f>
        <v>3057.1634023410079</v>
      </c>
      <c r="D7" s="16">
        <f>+C7/$C$5-1</f>
        <v>2.0977308043818477E-2</v>
      </c>
      <c r="F7" s="8"/>
      <c r="G7" s="9" t="s">
        <v>3</v>
      </c>
      <c r="H7" s="21">
        <f t="shared" ref="H7:AA7" si="1">+H6</f>
        <v>168344</v>
      </c>
      <c r="I7" s="21">
        <f t="shared" si="1"/>
        <v>171792</v>
      </c>
      <c r="J7" s="21">
        <f t="shared" si="1"/>
        <v>175427</v>
      </c>
      <c r="K7" s="21">
        <f t="shared" si="1"/>
        <v>178301</v>
      </c>
      <c r="L7" s="21">
        <f t="shared" si="1"/>
        <v>179992</v>
      </c>
      <c r="M7" s="21">
        <f t="shared" si="1"/>
        <v>181917</v>
      </c>
      <c r="N7" s="21">
        <f t="shared" si="1"/>
        <v>184244</v>
      </c>
      <c r="O7" s="21">
        <f t="shared" si="1"/>
        <v>187426</v>
      </c>
      <c r="P7" s="21">
        <f t="shared" si="1"/>
        <v>191919</v>
      </c>
      <c r="Q7" s="21">
        <f t="shared" si="1"/>
        <v>197945</v>
      </c>
      <c r="R7" s="21">
        <f t="shared" si="1"/>
        <v>201251</v>
      </c>
      <c r="S7" s="21">
        <f t="shared" si="1"/>
        <v>200907</v>
      </c>
      <c r="T7" s="21">
        <f t="shared" si="1"/>
        <v>202341</v>
      </c>
      <c r="U7" s="21">
        <f t="shared" si="1"/>
        <v>203594</v>
      </c>
      <c r="V7" s="21">
        <f t="shared" si="1"/>
        <v>205675</v>
      </c>
      <c r="W7" s="21">
        <f t="shared" si="1"/>
        <v>208752</v>
      </c>
      <c r="X7" s="9">
        <f t="shared" si="1"/>
        <v>211282</v>
      </c>
      <c r="Y7" s="9">
        <f t="shared" si="1"/>
        <v>213619</v>
      </c>
      <c r="Z7" s="9">
        <f t="shared" si="1"/>
        <v>216878</v>
      </c>
      <c r="AA7" s="9">
        <f t="shared" si="1"/>
        <v>222484</v>
      </c>
      <c r="AB7" s="9">
        <f>+AB6</f>
        <v>228231</v>
      </c>
      <c r="AC7" s="9">
        <v>233034</v>
      </c>
      <c r="AD7" s="9">
        <v>239415.08535913544</v>
      </c>
      <c r="AE7" s="9">
        <v>245385.913231279</v>
      </c>
      <c r="AF7" s="9">
        <v>251581.9190095884</v>
      </c>
      <c r="AG7" s="9">
        <v>258569.80501798278</v>
      </c>
      <c r="AH7" s="9">
        <v>259238.12589125213</v>
      </c>
      <c r="AI7" s="9">
        <v>259712.90147213376</v>
      </c>
      <c r="AJ7" s="9">
        <v>259989.62629058995</v>
      </c>
      <c r="AK7" s="9">
        <v>260074.36604253048</v>
      </c>
      <c r="AL7" s="9">
        <v>259777.28061484333</v>
      </c>
      <c r="AM7" s="9">
        <v>263200.3869203183</v>
      </c>
      <c r="AN7" s="21">
        <v>266043.21203166497</v>
      </c>
      <c r="AO7" s="21">
        <v>268842.76602114085</v>
      </c>
      <c r="AP7" s="21">
        <v>271587.57008322689</v>
      </c>
      <c r="AQ7" s="21">
        <v>274293.96318308241</v>
      </c>
      <c r="AR7" s="21">
        <v>276948.59360145085</v>
      </c>
      <c r="AS7" s="21">
        <v>279566.47326215589</v>
      </c>
      <c r="AT7" s="21">
        <v>282139.08024786331</v>
      </c>
      <c r="AU7" s="21">
        <v>284677.2292644488</v>
      </c>
      <c r="AV7" s="21">
        <v>287169.42966158479</v>
      </c>
      <c r="AW7" s="21">
        <v>289614.41956762259</v>
      </c>
      <c r="AX7" s="21">
        <v>292021.54085644695</v>
      </c>
      <c r="AY7" s="21">
        <v>294388.26175088494</v>
      </c>
      <c r="AZ7" s="21">
        <v>296721.38858055929</v>
      </c>
      <c r="BA7" s="21">
        <v>299008.12699700217</v>
      </c>
      <c r="BB7" s="21">
        <v>301255.73826593958</v>
      </c>
      <c r="BC7" s="21">
        <v>303463.73653293087</v>
      </c>
      <c r="BD7" s="21">
        <v>305643.56192844355</v>
      </c>
      <c r="BE7" s="21">
        <v>307801.1954764828</v>
      </c>
      <c r="BF7" s="21">
        <v>309943.62615278829</v>
      </c>
      <c r="BG7" s="21">
        <v>312078.1414785473</v>
      </c>
    </row>
    <row r="8" spans="2:59" x14ac:dyDescent="0.25">
      <c r="B8" s="14" t="s">
        <v>9</v>
      </c>
      <c r="C8" s="13">
        <f>+(AG6-AC6)/4</f>
        <v>4767.1722756640665</v>
      </c>
      <c r="D8" s="16">
        <f t="shared" ref="D8:D9" si="2">+C8/$C$5-1</f>
        <v>0.59205579697232014</v>
      </c>
      <c r="F8" s="10" t="s">
        <v>4</v>
      </c>
      <c r="X8" s="4">
        <f t="shared" ref="X8:AC8" si="3">+X6</f>
        <v>211282</v>
      </c>
      <c r="Y8" s="4">
        <f t="shared" si="3"/>
        <v>213619</v>
      </c>
      <c r="Z8" s="4">
        <f t="shared" si="3"/>
        <v>216878</v>
      </c>
      <c r="AA8" s="4">
        <f t="shared" si="3"/>
        <v>222484</v>
      </c>
      <c r="AB8" s="4">
        <f t="shared" si="3"/>
        <v>228231</v>
      </c>
      <c r="AC8" s="4">
        <f t="shared" si="3"/>
        <v>233034</v>
      </c>
      <c r="AD8" s="4">
        <f>+AC6+AD14</f>
        <v>233834</v>
      </c>
      <c r="AE8" s="4">
        <f>+AD8+AE14</f>
        <v>234134</v>
      </c>
      <c r="AF8" s="4">
        <f t="shared" ref="AF8:AM8" si="4">+AE8+AF14</f>
        <v>235434</v>
      </c>
      <c r="AG8" s="4">
        <f t="shared" si="4"/>
        <v>238234</v>
      </c>
      <c r="AH8" s="4">
        <f t="shared" si="4"/>
        <v>241834</v>
      </c>
      <c r="AI8" s="4">
        <f t="shared" si="4"/>
        <v>243834</v>
      </c>
      <c r="AJ8" s="4">
        <f t="shared" si="4"/>
        <v>245234</v>
      </c>
      <c r="AK8" s="4">
        <f t="shared" si="4"/>
        <v>247034</v>
      </c>
      <c r="AL8" s="4">
        <f t="shared" si="4"/>
        <v>249434</v>
      </c>
      <c r="AM8" s="4">
        <f t="shared" si="4"/>
        <v>251834</v>
      </c>
    </row>
    <row r="9" spans="2:59" x14ac:dyDescent="0.25">
      <c r="B9" s="14" t="s">
        <v>8</v>
      </c>
      <c r="C9" s="13">
        <f>+(AG7-AC7)/4</f>
        <v>6383.951254495696</v>
      </c>
      <c r="D9" s="16">
        <f t="shared" si="2"/>
        <v>1.131999016312621</v>
      </c>
      <c r="AM9" s="4"/>
    </row>
    <row r="11" spans="2:59" x14ac:dyDescent="0.25">
      <c r="AD11" s="4">
        <f>+AD5-AC$6</f>
        <v>3134.5745215397619</v>
      </c>
      <c r="AE11" s="4">
        <f>+AE5-AD$5</f>
        <v>3338.986485688627</v>
      </c>
      <c r="AF11" s="4">
        <f>+AF5-AE$5</f>
        <v>3031.5704583244515</v>
      </c>
      <c r="AG11" s="4">
        <f t="shared" ref="AG11:AI11" si="5">+AG5-AF$5</f>
        <v>2723.5221438111912</v>
      </c>
      <c r="AH11" s="4">
        <f t="shared" si="5"/>
        <v>-943.80918387847487</v>
      </c>
      <c r="AI11" s="4">
        <f t="shared" si="5"/>
        <v>-1147.6759042262274</v>
      </c>
      <c r="AJ11" s="4">
        <f t="shared" ref="AJ11:AK11" si="6">+AJ5-AI$5</f>
        <v>-1354.4608607629198</v>
      </c>
      <c r="AK11" s="4">
        <f t="shared" si="6"/>
        <v>-1562.6992367096245</v>
      </c>
      <c r="AL11" s="4">
        <f t="shared" ref="AL11:AM11" si="7">+AL5-AK$5</f>
        <v>-1953.9661637310055</v>
      </c>
      <c r="AM11" s="4">
        <f t="shared" si="7"/>
        <v>1691.3698237826757</v>
      </c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</row>
    <row r="12" spans="2:59" x14ac:dyDescent="0.25">
      <c r="F12" t="s">
        <v>6</v>
      </c>
      <c r="H12" s="18"/>
      <c r="I12" s="18">
        <f>+I6-H6</f>
        <v>3448</v>
      </c>
      <c r="J12" s="18">
        <f t="shared" ref="J12:P12" si="8">+J6-I6</f>
        <v>3635</v>
      </c>
      <c r="K12" s="18">
        <f t="shared" si="8"/>
        <v>2874</v>
      </c>
      <c r="L12" s="18">
        <f t="shared" si="8"/>
        <v>1691</v>
      </c>
      <c r="M12" s="18">
        <f t="shared" si="8"/>
        <v>1925</v>
      </c>
      <c r="N12" s="18">
        <f t="shared" si="8"/>
        <v>2327</v>
      </c>
      <c r="O12" s="18">
        <f t="shared" si="8"/>
        <v>3182</v>
      </c>
      <c r="P12" s="18">
        <f t="shared" si="8"/>
        <v>4493</v>
      </c>
      <c r="Q12" s="18">
        <f t="shared" ref="Q12:AC12" si="9">+Q6-P6</f>
        <v>6026</v>
      </c>
      <c r="R12" s="18">
        <f t="shared" si="9"/>
        <v>3306</v>
      </c>
      <c r="S12" s="18">
        <f t="shared" si="9"/>
        <v>-344</v>
      </c>
      <c r="T12" s="18">
        <f t="shared" si="9"/>
        <v>1434</v>
      </c>
      <c r="U12" s="18">
        <f t="shared" si="9"/>
        <v>1253</v>
      </c>
      <c r="V12" s="18">
        <f t="shared" si="9"/>
        <v>2081</v>
      </c>
      <c r="W12" s="18">
        <f t="shared" si="9"/>
        <v>3077</v>
      </c>
      <c r="X12" s="4">
        <f t="shared" si="9"/>
        <v>2530</v>
      </c>
      <c r="Y12" s="4">
        <f t="shared" si="9"/>
        <v>2337</v>
      </c>
      <c r="Z12" s="4">
        <f t="shared" si="9"/>
        <v>3259</v>
      </c>
      <c r="AA12" s="4">
        <f t="shared" si="9"/>
        <v>5606</v>
      </c>
      <c r="AB12" s="4">
        <f t="shared" si="9"/>
        <v>5747</v>
      </c>
      <c r="AC12" s="4">
        <f t="shared" si="9"/>
        <v>4803</v>
      </c>
      <c r="AD12" s="4">
        <f>+AD6-AC$6</f>
        <v>4658.1053885814908</v>
      </c>
      <c r="AE12" s="4">
        <f>+AE6-AD$6</f>
        <v>4752.958070024848</v>
      </c>
      <c r="AF12" s="4">
        <f>+AF6-AE$6</f>
        <v>4652.9435467550356</v>
      </c>
      <c r="AG12" s="4">
        <f t="shared" ref="AG12:AI12" si="10">+AG6-AF$6</f>
        <v>5004.6820972948917</v>
      </c>
      <c r="AH12" s="4">
        <f t="shared" si="10"/>
        <v>-142.03429343146854</v>
      </c>
      <c r="AI12" s="4">
        <f t="shared" si="10"/>
        <v>-334.67825971342972</v>
      </c>
      <c r="AJ12" s="4">
        <f t="shared" ref="AJ12:AK12" si="11">+AJ6-AI$6</f>
        <v>-542.37098780990345</v>
      </c>
      <c r="AK12" s="4">
        <f t="shared" si="11"/>
        <v>-752.06004921917338</v>
      </c>
      <c r="AL12" s="4">
        <f t="shared" ref="AL12:AM12" si="12">+AL6-AK$6</f>
        <v>-1136.2293905231927</v>
      </c>
      <c r="AM12" s="4">
        <f t="shared" si="12"/>
        <v>2544.1167978830636</v>
      </c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</row>
    <row r="13" spans="2:59" x14ac:dyDescent="0.25"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D13" s="4">
        <f>+AD7-AC$6</f>
        <v>6381.0853591354389</v>
      </c>
      <c r="AE13" s="4">
        <f>+AE7-AD$7</f>
        <v>5970.8278721435636</v>
      </c>
      <c r="AF13" s="4">
        <f>+AF7-AE$7</f>
        <v>6196.0057783093944</v>
      </c>
      <c r="AG13" s="4">
        <f t="shared" ref="AG13:AI13" si="13">+AG7-AF$7</f>
        <v>6987.8860083943873</v>
      </c>
      <c r="AH13" s="4">
        <f t="shared" si="13"/>
        <v>668.32087326934561</v>
      </c>
      <c r="AI13" s="4">
        <f t="shared" si="13"/>
        <v>474.77558088162914</v>
      </c>
      <c r="AJ13" s="4">
        <f t="shared" ref="AJ13:AK13" si="14">+AJ7-AI$7</f>
        <v>276.72481845619041</v>
      </c>
      <c r="AK13" s="4">
        <f t="shared" si="14"/>
        <v>84.739751940534916</v>
      </c>
      <c r="AL13" s="4">
        <f t="shared" ref="AL13:AM13" si="15">+AL7-AK$7</f>
        <v>-297.08542768715415</v>
      </c>
      <c r="AM13" s="4">
        <f t="shared" si="15"/>
        <v>3423.1063054749684</v>
      </c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</row>
    <row r="14" spans="2:59" x14ac:dyDescent="0.25">
      <c r="AD14">
        <v>800</v>
      </c>
      <c r="AE14">
        <v>300</v>
      </c>
      <c r="AF14">
        <v>1300</v>
      </c>
      <c r="AG14">
        <v>2800</v>
      </c>
      <c r="AH14">
        <v>3600</v>
      </c>
      <c r="AI14">
        <v>2000</v>
      </c>
      <c r="AJ14">
        <v>1400</v>
      </c>
      <c r="AK14">
        <v>1800</v>
      </c>
      <c r="AL14">
        <v>2400</v>
      </c>
      <c r="AM14">
        <v>2400</v>
      </c>
    </row>
    <row r="15" spans="2:59" x14ac:dyDescent="0.25">
      <c r="I15" s="18"/>
      <c r="AG15">
        <f>+SUM(AD14:AG14)</f>
        <v>5200</v>
      </c>
    </row>
    <row r="16" spans="2:59" x14ac:dyDescent="0.25">
      <c r="AG16">
        <f>+AG15/4</f>
        <v>1300</v>
      </c>
    </row>
  </sheetData>
  <pageMargins left="0.7" right="0.7" top="0.75" bottom="0.75" header="0.3" footer="0.3"/>
  <ignoredErrors>
    <ignoredError sqref="AE8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52EFC-CF2E-4ACE-9A12-5FFA49B9FC1D}">
  <dimension ref="A1:K71"/>
  <sheetViews>
    <sheetView workbookViewId="0">
      <selection activeCell="Q54" sqref="Q54"/>
    </sheetView>
  </sheetViews>
  <sheetFormatPr defaultRowHeight="12.75" x14ac:dyDescent="0.2"/>
  <cols>
    <col min="1" max="1" width="9.140625" style="82"/>
    <col min="2" max="2" width="36.28515625" style="82" customWidth="1"/>
    <col min="3" max="7" width="9.140625" style="82"/>
    <col min="8" max="8" width="9.140625" style="84"/>
    <col min="9" max="16384" width="9.140625" style="82"/>
  </cols>
  <sheetData>
    <row r="1" spans="1:10" x14ac:dyDescent="0.2">
      <c r="C1" s="83"/>
      <c r="H1" s="111" t="s">
        <v>102</v>
      </c>
      <c r="I1" s="111"/>
      <c r="J1" s="111"/>
    </row>
    <row r="2" spans="1:10" x14ac:dyDescent="0.2">
      <c r="A2" s="82" t="s">
        <v>103</v>
      </c>
      <c r="B2" s="82" t="s">
        <v>104</v>
      </c>
      <c r="C2" s="82" t="s">
        <v>105</v>
      </c>
      <c r="D2" s="82" t="s">
        <v>106</v>
      </c>
      <c r="E2" s="82" t="s">
        <v>107</v>
      </c>
      <c r="F2" s="82" t="s">
        <v>108</v>
      </c>
      <c r="G2" s="82" t="s">
        <v>109</v>
      </c>
      <c r="H2" s="84" t="s">
        <v>110</v>
      </c>
      <c r="I2" s="82" t="s">
        <v>111</v>
      </c>
      <c r="J2" s="82" t="s">
        <v>112</v>
      </c>
    </row>
    <row r="3" spans="1:10" x14ac:dyDescent="0.2">
      <c r="A3" s="82">
        <v>74</v>
      </c>
      <c r="B3" s="82" t="s">
        <v>113</v>
      </c>
      <c r="C3" s="82" t="s">
        <v>73</v>
      </c>
      <c r="D3" s="82" t="s">
        <v>114</v>
      </c>
      <c r="E3" s="82">
        <v>90</v>
      </c>
      <c r="F3" s="82">
        <v>1190</v>
      </c>
      <c r="G3" s="82">
        <v>669004</v>
      </c>
      <c r="H3" s="84">
        <v>198865</v>
      </c>
      <c r="I3" s="82">
        <v>30</v>
      </c>
      <c r="J3" s="82">
        <v>27</v>
      </c>
    </row>
    <row r="4" spans="1:10" x14ac:dyDescent="0.2">
      <c r="A4" s="82">
        <v>75</v>
      </c>
      <c r="B4" s="82" t="s">
        <v>115</v>
      </c>
      <c r="C4" s="82" t="s">
        <v>73</v>
      </c>
      <c r="D4" s="82" t="s">
        <v>116</v>
      </c>
      <c r="E4" s="82">
        <v>85</v>
      </c>
      <c r="F4" s="82">
        <v>658</v>
      </c>
      <c r="G4" s="82">
        <v>159862</v>
      </c>
      <c r="H4" s="84">
        <v>159862</v>
      </c>
      <c r="I4" s="82">
        <v>100</v>
      </c>
      <c r="J4" s="82">
        <v>85</v>
      </c>
    </row>
    <row r="5" spans="1:10" x14ac:dyDescent="0.2">
      <c r="A5" s="82">
        <v>76</v>
      </c>
      <c r="B5" s="82" t="s">
        <v>117</v>
      </c>
      <c r="C5" s="82" t="s">
        <v>73</v>
      </c>
      <c r="D5" s="82" t="s">
        <v>116</v>
      </c>
      <c r="E5" s="82">
        <v>800</v>
      </c>
      <c r="F5" s="82">
        <v>982</v>
      </c>
      <c r="G5" s="82">
        <v>719687</v>
      </c>
      <c r="H5" s="84">
        <v>56095</v>
      </c>
      <c r="I5" s="82">
        <v>8</v>
      </c>
      <c r="J5" s="82">
        <v>62</v>
      </c>
    </row>
    <row r="6" spans="1:10" x14ac:dyDescent="0.2">
      <c r="A6" s="82">
        <v>79</v>
      </c>
      <c r="B6" s="82" t="s">
        <v>118</v>
      </c>
      <c r="C6" s="82" t="s">
        <v>73</v>
      </c>
      <c r="D6" s="82" t="s">
        <v>114</v>
      </c>
      <c r="E6" s="82">
        <v>200</v>
      </c>
      <c r="F6" s="82">
        <v>375</v>
      </c>
      <c r="G6" s="82">
        <v>55501</v>
      </c>
      <c r="H6" s="84">
        <v>48545</v>
      </c>
      <c r="I6" s="82">
        <v>87</v>
      </c>
      <c r="J6" s="82">
        <v>175</v>
      </c>
    </row>
    <row r="7" spans="1:10" x14ac:dyDescent="0.2">
      <c r="A7" s="82">
        <v>81</v>
      </c>
      <c r="B7" s="82" t="s">
        <v>119</v>
      </c>
      <c r="C7" s="82" t="s">
        <v>74</v>
      </c>
      <c r="D7" s="82" t="s">
        <v>114</v>
      </c>
      <c r="E7" s="82">
        <v>100</v>
      </c>
      <c r="F7" s="82">
        <v>2300</v>
      </c>
      <c r="G7" s="82">
        <v>276378</v>
      </c>
      <c r="H7" s="84">
        <v>276378</v>
      </c>
      <c r="I7" s="82">
        <v>100</v>
      </c>
      <c r="J7" s="82">
        <v>100</v>
      </c>
    </row>
    <row r="8" spans="1:10" x14ac:dyDescent="0.2">
      <c r="A8" s="82">
        <v>82</v>
      </c>
      <c r="B8" s="82" t="s">
        <v>120</v>
      </c>
      <c r="C8" s="82" t="s">
        <v>74</v>
      </c>
      <c r="D8" s="82" t="s">
        <v>114</v>
      </c>
      <c r="E8" s="82">
        <v>22</v>
      </c>
      <c r="F8" s="82">
        <v>22</v>
      </c>
      <c r="G8" s="82">
        <v>7061</v>
      </c>
      <c r="H8" s="84">
        <v>7061</v>
      </c>
      <c r="I8" s="82">
        <v>100</v>
      </c>
      <c r="J8" s="82">
        <v>22</v>
      </c>
    </row>
    <row r="9" spans="1:10" x14ac:dyDescent="0.2">
      <c r="A9" s="82">
        <v>83</v>
      </c>
      <c r="B9" s="82" t="s">
        <v>121</v>
      </c>
      <c r="C9" s="82" t="s">
        <v>74</v>
      </c>
      <c r="D9" s="82" t="s">
        <v>114</v>
      </c>
      <c r="E9" s="82">
        <v>75</v>
      </c>
      <c r="F9" s="82">
        <v>750</v>
      </c>
      <c r="G9" s="82">
        <v>121937</v>
      </c>
      <c r="H9" s="84">
        <v>120413</v>
      </c>
      <c r="I9" s="82">
        <v>99</v>
      </c>
      <c r="J9" s="82">
        <v>74</v>
      </c>
    </row>
    <row r="10" spans="1:10" x14ac:dyDescent="0.2">
      <c r="A10" s="82">
        <v>85</v>
      </c>
      <c r="B10" s="82" t="s">
        <v>122</v>
      </c>
      <c r="C10" s="82" t="s">
        <v>74</v>
      </c>
      <c r="D10" s="82" t="s">
        <v>114</v>
      </c>
      <c r="E10" s="82">
        <v>288</v>
      </c>
      <c r="F10" s="82">
        <v>288</v>
      </c>
      <c r="G10" s="82">
        <v>363044</v>
      </c>
      <c r="H10" s="84">
        <v>159562</v>
      </c>
      <c r="I10" s="82">
        <v>44</v>
      </c>
      <c r="J10" s="82">
        <v>127</v>
      </c>
    </row>
    <row r="11" spans="1:10" x14ac:dyDescent="0.2">
      <c r="A11" s="82">
        <v>86</v>
      </c>
      <c r="B11" s="82" t="s">
        <v>123</v>
      </c>
      <c r="C11" s="82" t="s">
        <v>74</v>
      </c>
      <c r="D11" s="82" t="s">
        <v>114</v>
      </c>
      <c r="E11" s="82">
        <v>185</v>
      </c>
      <c r="F11" s="82">
        <v>296</v>
      </c>
      <c r="G11" s="82">
        <v>152754</v>
      </c>
      <c r="H11" s="84">
        <v>27356</v>
      </c>
      <c r="I11" s="82">
        <v>18</v>
      </c>
      <c r="J11" s="82">
        <v>33</v>
      </c>
    </row>
    <row r="12" spans="1:10" x14ac:dyDescent="0.2">
      <c r="A12" s="82">
        <v>87</v>
      </c>
      <c r="B12" s="82" t="s">
        <v>124</v>
      </c>
      <c r="C12" s="82" t="s">
        <v>74</v>
      </c>
      <c r="D12" s="82" t="s">
        <v>114</v>
      </c>
      <c r="E12" s="82">
        <v>49</v>
      </c>
      <c r="F12" s="82">
        <v>49</v>
      </c>
      <c r="G12" s="82">
        <v>126295</v>
      </c>
      <c r="H12" s="84">
        <v>126295</v>
      </c>
      <c r="I12" s="82">
        <v>100</v>
      </c>
      <c r="J12" s="82">
        <v>49</v>
      </c>
    </row>
    <row r="13" spans="1:10" x14ac:dyDescent="0.2">
      <c r="A13" s="82">
        <v>62</v>
      </c>
      <c r="B13" s="82" t="s">
        <v>125</v>
      </c>
      <c r="C13" s="82" t="s">
        <v>71</v>
      </c>
      <c r="D13" s="82" t="s">
        <v>114</v>
      </c>
      <c r="E13" s="82">
        <v>25</v>
      </c>
      <c r="F13" s="82">
        <v>500</v>
      </c>
      <c r="G13" s="82">
        <v>270205</v>
      </c>
      <c r="H13" s="84">
        <v>36453</v>
      </c>
      <c r="I13" s="82">
        <v>13</v>
      </c>
      <c r="J13" s="82">
        <v>3</v>
      </c>
    </row>
    <row r="14" spans="1:10" x14ac:dyDescent="0.2">
      <c r="A14" s="82">
        <v>63</v>
      </c>
      <c r="B14" s="82" t="s">
        <v>126</v>
      </c>
      <c r="C14" s="82" t="s">
        <v>71</v>
      </c>
      <c r="D14" s="82" t="s">
        <v>114</v>
      </c>
      <c r="E14" s="82">
        <v>86</v>
      </c>
      <c r="F14" s="82">
        <v>86</v>
      </c>
      <c r="G14" s="82">
        <v>48790</v>
      </c>
      <c r="H14" s="84">
        <v>48710</v>
      </c>
      <c r="I14" s="82">
        <v>100</v>
      </c>
      <c r="J14" s="82">
        <v>86</v>
      </c>
    </row>
    <row r="15" spans="1:10" x14ac:dyDescent="0.2">
      <c r="A15" s="82">
        <v>64</v>
      </c>
      <c r="B15" s="82" t="s">
        <v>127</v>
      </c>
      <c r="C15" s="82" t="s">
        <v>71</v>
      </c>
      <c r="D15" s="82" t="s">
        <v>116</v>
      </c>
      <c r="E15" s="82">
        <v>95</v>
      </c>
      <c r="F15" s="82">
        <v>500</v>
      </c>
      <c r="G15" s="82">
        <v>94206</v>
      </c>
      <c r="H15" s="84">
        <v>93402</v>
      </c>
      <c r="I15" s="82">
        <v>99</v>
      </c>
      <c r="J15" s="82">
        <v>94</v>
      </c>
    </row>
    <row r="16" spans="1:10" x14ac:dyDescent="0.2">
      <c r="A16" s="82">
        <v>65</v>
      </c>
      <c r="B16" s="82" t="s">
        <v>128</v>
      </c>
      <c r="C16" s="82" t="s">
        <v>71</v>
      </c>
      <c r="D16" s="82" t="s">
        <v>114</v>
      </c>
      <c r="E16" s="82">
        <v>100</v>
      </c>
      <c r="F16" s="82">
        <v>100</v>
      </c>
      <c r="G16" s="82">
        <v>27543</v>
      </c>
      <c r="H16" s="84">
        <v>27543</v>
      </c>
      <c r="I16" s="82">
        <v>100</v>
      </c>
      <c r="J16" s="82">
        <v>100</v>
      </c>
    </row>
    <row r="17" spans="1:10" x14ac:dyDescent="0.2">
      <c r="A17" s="82">
        <v>66</v>
      </c>
      <c r="B17" s="82" t="s">
        <v>129</v>
      </c>
      <c r="C17" s="82" t="s">
        <v>71</v>
      </c>
      <c r="D17" s="82" t="s">
        <v>116</v>
      </c>
      <c r="E17" s="82">
        <v>280</v>
      </c>
      <c r="F17" s="82">
        <v>528</v>
      </c>
      <c r="G17" s="82">
        <v>50028</v>
      </c>
      <c r="H17" s="84">
        <v>50028</v>
      </c>
      <c r="I17" s="82">
        <v>100</v>
      </c>
      <c r="J17" s="82">
        <v>280</v>
      </c>
    </row>
    <row r="18" spans="1:10" x14ac:dyDescent="0.2">
      <c r="A18" s="82">
        <v>68</v>
      </c>
      <c r="B18" s="82" t="s">
        <v>130</v>
      </c>
      <c r="C18" s="82" t="s">
        <v>71</v>
      </c>
      <c r="D18" s="82" t="s">
        <v>114</v>
      </c>
      <c r="E18" s="82">
        <v>27</v>
      </c>
      <c r="F18" s="82">
        <v>27</v>
      </c>
      <c r="G18" s="82">
        <v>128256</v>
      </c>
      <c r="H18" s="84">
        <v>107521</v>
      </c>
      <c r="I18" s="82">
        <v>84</v>
      </c>
      <c r="J18" s="82">
        <v>23</v>
      </c>
    </row>
    <row r="19" spans="1:10" x14ac:dyDescent="0.2">
      <c r="A19" s="82">
        <v>69</v>
      </c>
      <c r="B19" s="82" t="s">
        <v>131</v>
      </c>
      <c r="C19" s="82" t="s">
        <v>71</v>
      </c>
      <c r="D19" s="82" t="s">
        <v>114</v>
      </c>
      <c r="E19" s="82">
        <v>131</v>
      </c>
      <c r="F19" s="82">
        <v>294</v>
      </c>
      <c r="G19" s="82">
        <v>122702</v>
      </c>
      <c r="H19" s="84">
        <v>91421</v>
      </c>
      <c r="I19" s="82">
        <v>75</v>
      </c>
      <c r="J19" s="82">
        <v>98</v>
      </c>
    </row>
    <row r="20" spans="1:10" x14ac:dyDescent="0.2">
      <c r="A20" s="82">
        <v>70</v>
      </c>
      <c r="B20" s="82" t="s">
        <v>132</v>
      </c>
      <c r="C20" s="82" t="s">
        <v>71</v>
      </c>
      <c r="D20" s="82" t="s">
        <v>116</v>
      </c>
      <c r="E20" s="82">
        <v>270</v>
      </c>
      <c r="F20" s="82">
        <v>1260</v>
      </c>
      <c r="G20" s="82">
        <v>203739</v>
      </c>
      <c r="H20" s="84">
        <v>159410</v>
      </c>
      <c r="I20" s="82">
        <v>78</v>
      </c>
      <c r="J20" s="82">
        <v>211</v>
      </c>
    </row>
    <row r="21" spans="1:10" x14ac:dyDescent="0.2">
      <c r="A21" s="82">
        <v>71</v>
      </c>
      <c r="B21" s="82" t="s">
        <v>133</v>
      </c>
      <c r="C21" s="82" t="s">
        <v>71</v>
      </c>
      <c r="D21" s="82" t="s">
        <v>114</v>
      </c>
      <c r="E21" s="82">
        <v>58</v>
      </c>
      <c r="F21" s="82">
        <v>58</v>
      </c>
      <c r="G21" s="82">
        <v>107208</v>
      </c>
      <c r="H21" s="84">
        <v>107208</v>
      </c>
      <c r="I21" s="82">
        <v>100</v>
      </c>
      <c r="J21" s="82">
        <v>58</v>
      </c>
    </row>
    <row r="22" spans="1:10" x14ac:dyDescent="0.2">
      <c r="A22" s="82">
        <v>72</v>
      </c>
      <c r="B22" s="82" t="s">
        <v>134</v>
      </c>
      <c r="C22" s="82" t="s">
        <v>71</v>
      </c>
      <c r="D22" s="82" t="s">
        <v>114</v>
      </c>
      <c r="E22" s="82">
        <v>138</v>
      </c>
      <c r="F22" s="82">
        <v>428</v>
      </c>
      <c r="G22" s="82">
        <v>145751</v>
      </c>
      <c r="H22" s="84">
        <v>61319</v>
      </c>
      <c r="I22" s="82">
        <v>42</v>
      </c>
      <c r="J22" s="82">
        <v>58</v>
      </c>
    </row>
    <row r="23" spans="1:10" x14ac:dyDescent="0.2">
      <c r="A23" s="82">
        <v>73</v>
      </c>
      <c r="B23" s="82" t="s">
        <v>135</v>
      </c>
      <c r="C23" s="82" t="s">
        <v>71</v>
      </c>
      <c r="D23" s="82" t="s">
        <v>116</v>
      </c>
      <c r="E23" s="82">
        <v>301</v>
      </c>
      <c r="F23" s="82">
        <v>876</v>
      </c>
      <c r="G23" s="82">
        <v>351549</v>
      </c>
      <c r="H23" s="84">
        <v>345391</v>
      </c>
      <c r="I23" s="82">
        <v>98</v>
      </c>
      <c r="J23" s="82">
        <v>296</v>
      </c>
    </row>
    <row r="24" spans="1:10" x14ac:dyDescent="0.2">
      <c r="A24" s="82">
        <v>6</v>
      </c>
      <c r="B24" s="82" t="s">
        <v>136</v>
      </c>
      <c r="C24" s="82" t="s">
        <v>75</v>
      </c>
      <c r="D24" s="82" t="s">
        <v>114</v>
      </c>
      <c r="E24" s="82">
        <v>120</v>
      </c>
      <c r="F24" s="82">
        <v>188</v>
      </c>
      <c r="G24" s="82">
        <v>65430</v>
      </c>
      <c r="H24" s="84">
        <v>65430</v>
      </c>
      <c r="I24" s="82">
        <v>100</v>
      </c>
      <c r="J24" s="82">
        <v>120</v>
      </c>
    </row>
    <row r="25" spans="1:10" x14ac:dyDescent="0.2">
      <c r="A25" s="82">
        <v>7</v>
      </c>
      <c r="B25" s="82" t="s">
        <v>137</v>
      </c>
      <c r="C25" s="82" t="s">
        <v>75</v>
      </c>
      <c r="D25" s="82" t="s">
        <v>114</v>
      </c>
      <c r="E25" s="82">
        <v>60</v>
      </c>
      <c r="F25" s="82">
        <v>150</v>
      </c>
      <c r="G25" s="82">
        <v>43079</v>
      </c>
      <c r="H25" s="84">
        <v>43079</v>
      </c>
      <c r="I25" s="82">
        <v>100</v>
      </c>
      <c r="J25" s="82">
        <v>60</v>
      </c>
    </row>
    <row r="26" spans="1:10" x14ac:dyDescent="0.2">
      <c r="A26" s="82">
        <v>8</v>
      </c>
      <c r="B26" s="82" t="s">
        <v>138</v>
      </c>
      <c r="C26" s="82" t="s">
        <v>75</v>
      </c>
      <c r="D26" s="82" t="s">
        <v>114</v>
      </c>
      <c r="E26" s="82">
        <v>44</v>
      </c>
      <c r="F26" s="82">
        <v>44</v>
      </c>
      <c r="G26" s="82">
        <v>25355</v>
      </c>
      <c r="H26" s="84">
        <v>25355</v>
      </c>
      <c r="I26" s="82">
        <v>100</v>
      </c>
      <c r="J26" s="82">
        <v>44</v>
      </c>
    </row>
    <row r="27" spans="1:10" x14ac:dyDescent="0.2">
      <c r="A27" s="82">
        <v>10</v>
      </c>
      <c r="B27" s="82" t="s">
        <v>139</v>
      </c>
      <c r="C27" s="82" t="s">
        <v>75</v>
      </c>
      <c r="D27" s="82" t="s">
        <v>116</v>
      </c>
      <c r="E27" s="82">
        <v>137</v>
      </c>
      <c r="F27" s="82">
        <v>256</v>
      </c>
      <c r="G27" s="82">
        <v>289798</v>
      </c>
      <c r="H27" s="84">
        <v>289798</v>
      </c>
      <c r="I27" s="82">
        <v>100</v>
      </c>
      <c r="J27" s="82">
        <v>137</v>
      </c>
    </row>
    <row r="28" spans="1:10" x14ac:dyDescent="0.2">
      <c r="A28" s="82">
        <v>23</v>
      </c>
      <c r="B28" s="82" t="s">
        <v>140</v>
      </c>
      <c r="C28" s="82" t="s">
        <v>70</v>
      </c>
      <c r="D28" s="82" t="s">
        <v>114</v>
      </c>
      <c r="E28" s="82">
        <v>215</v>
      </c>
      <c r="F28" s="82">
        <v>215</v>
      </c>
      <c r="G28" s="82">
        <v>23074</v>
      </c>
      <c r="H28" s="84">
        <v>23074</v>
      </c>
      <c r="I28" s="82">
        <v>100</v>
      </c>
      <c r="J28" s="82">
        <v>215</v>
      </c>
    </row>
    <row r="29" spans="1:10" x14ac:dyDescent="0.2">
      <c r="A29" s="82">
        <v>25</v>
      </c>
      <c r="B29" s="82" t="s">
        <v>141</v>
      </c>
      <c r="C29" s="82" t="s">
        <v>70</v>
      </c>
      <c r="D29" s="82" t="s">
        <v>114</v>
      </c>
      <c r="E29" s="82">
        <v>122</v>
      </c>
      <c r="F29" s="82">
        <v>122</v>
      </c>
      <c r="G29" s="82">
        <v>63897</v>
      </c>
      <c r="H29" s="84">
        <v>56046</v>
      </c>
      <c r="I29" s="82">
        <v>88</v>
      </c>
      <c r="J29" s="82">
        <v>107</v>
      </c>
    </row>
    <row r="30" spans="1:10" x14ac:dyDescent="0.2">
      <c r="A30" s="82">
        <v>26</v>
      </c>
      <c r="B30" s="82" t="s">
        <v>142</v>
      </c>
      <c r="C30" s="82" t="s">
        <v>70</v>
      </c>
      <c r="D30" s="82" t="s">
        <v>116</v>
      </c>
      <c r="E30" s="82">
        <v>72</v>
      </c>
      <c r="F30" s="82">
        <v>130</v>
      </c>
      <c r="G30" s="82">
        <v>57534</v>
      </c>
      <c r="H30" s="84">
        <v>57534</v>
      </c>
      <c r="I30" s="82">
        <v>100</v>
      </c>
      <c r="J30" s="82">
        <v>72</v>
      </c>
    </row>
    <row r="31" spans="1:10" x14ac:dyDescent="0.2">
      <c r="A31" s="82">
        <v>27</v>
      </c>
      <c r="B31" s="82" t="s">
        <v>143</v>
      </c>
      <c r="C31" s="82" t="s">
        <v>70</v>
      </c>
      <c r="D31" s="82" t="s">
        <v>116</v>
      </c>
      <c r="E31" s="82">
        <v>120</v>
      </c>
      <c r="F31" s="82">
        <v>1430</v>
      </c>
      <c r="G31" s="82">
        <v>144737</v>
      </c>
      <c r="H31" s="84">
        <v>144737</v>
      </c>
      <c r="I31" s="82">
        <v>100</v>
      </c>
      <c r="J31" s="82">
        <v>120</v>
      </c>
    </row>
    <row r="32" spans="1:10" x14ac:dyDescent="0.2">
      <c r="A32" s="82">
        <v>28</v>
      </c>
      <c r="B32" s="82" t="s">
        <v>144</v>
      </c>
      <c r="C32" s="82" t="s">
        <v>70</v>
      </c>
      <c r="D32" s="82" t="s">
        <v>116</v>
      </c>
      <c r="E32" s="82">
        <v>108</v>
      </c>
      <c r="F32" s="82">
        <v>2000</v>
      </c>
      <c r="G32" s="82">
        <v>164318</v>
      </c>
      <c r="H32" s="84">
        <v>150901</v>
      </c>
      <c r="I32" s="82">
        <v>92</v>
      </c>
      <c r="J32" s="82">
        <v>99</v>
      </c>
    </row>
    <row r="33" spans="1:10" x14ac:dyDescent="0.2">
      <c r="A33" s="82">
        <v>30</v>
      </c>
      <c r="B33" s="82" t="s">
        <v>145</v>
      </c>
      <c r="C33" s="82" t="s">
        <v>70</v>
      </c>
      <c r="D33" s="82" t="s">
        <v>114</v>
      </c>
      <c r="E33" s="82">
        <v>213</v>
      </c>
      <c r="F33" s="82">
        <v>833</v>
      </c>
      <c r="G33" s="82">
        <v>118289</v>
      </c>
      <c r="H33" s="84">
        <v>29400</v>
      </c>
      <c r="I33" s="82">
        <v>25</v>
      </c>
      <c r="J33" s="82">
        <v>53</v>
      </c>
    </row>
    <row r="34" spans="1:10" x14ac:dyDescent="0.2">
      <c r="A34" s="82">
        <v>31</v>
      </c>
      <c r="B34" s="82" t="s">
        <v>146</v>
      </c>
      <c r="C34" s="82" t="s">
        <v>70</v>
      </c>
      <c r="D34" s="82" t="s">
        <v>114</v>
      </c>
      <c r="E34" s="82">
        <v>202</v>
      </c>
      <c r="F34" s="82">
        <v>662</v>
      </c>
      <c r="G34" s="82">
        <v>98497</v>
      </c>
      <c r="H34" s="84">
        <v>98497</v>
      </c>
      <c r="I34" s="82">
        <v>100</v>
      </c>
      <c r="J34" s="82">
        <v>202</v>
      </c>
    </row>
    <row r="35" spans="1:10" x14ac:dyDescent="0.2">
      <c r="A35" s="82">
        <v>32</v>
      </c>
      <c r="B35" s="82" t="s">
        <v>147</v>
      </c>
      <c r="C35" s="82" t="s">
        <v>70</v>
      </c>
      <c r="D35" s="82" t="s">
        <v>114</v>
      </c>
      <c r="E35" s="82">
        <v>210</v>
      </c>
      <c r="F35" s="82">
        <v>273</v>
      </c>
      <c r="G35" s="82">
        <v>49925</v>
      </c>
      <c r="H35" s="84">
        <v>21178</v>
      </c>
      <c r="I35" s="82">
        <v>42</v>
      </c>
      <c r="J35" s="82">
        <v>89</v>
      </c>
    </row>
    <row r="36" spans="1:10" x14ac:dyDescent="0.2">
      <c r="A36" s="82">
        <v>34</v>
      </c>
      <c r="B36" s="82" t="s">
        <v>148</v>
      </c>
      <c r="C36" s="82" t="s">
        <v>70</v>
      </c>
      <c r="D36" s="82" t="s">
        <v>116</v>
      </c>
      <c r="E36" s="82">
        <v>140</v>
      </c>
      <c r="F36" s="82">
        <v>204</v>
      </c>
      <c r="G36" s="82">
        <v>16937</v>
      </c>
      <c r="H36" s="84">
        <v>16937</v>
      </c>
      <c r="I36" s="82">
        <v>100</v>
      </c>
      <c r="J36" s="82">
        <v>140</v>
      </c>
    </row>
    <row r="37" spans="1:10" x14ac:dyDescent="0.2">
      <c r="A37" s="82">
        <v>35</v>
      </c>
      <c r="B37" s="82" t="s">
        <v>149</v>
      </c>
      <c r="C37" s="82" t="s">
        <v>70</v>
      </c>
      <c r="D37" s="82" t="s">
        <v>116</v>
      </c>
      <c r="E37" s="82">
        <v>120</v>
      </c>
      <c r="F37" s="82">
        <v>450</v>
      </c>
      <c r="G37" s="82">
        <v>32715</v>
      </c>
      <c r="H37" s="84">
        <v>32715</v>
      </c>
      <c r="I37" s="82">
        <v>100</v>
      </c>
      <c r="J37" s="82">
        <v>120</v>
      </c>
    </row>
    <row r="38" spans="1:10" x14ac:dyDescent="0.2">
      <c r="A38" s="82">
        <v>37</v>
      </c>
      <c r="B38" s="82" t="s">
        <v>150</v>
      </c>
      <c r="C38" s="82" t="s">
        <v>70</v>
      </c>
      <c r="D38" s="82" t="s">
        <v>114</v>
      </c>
      <c r="E38" s="82">
        <v>169</v>
      </c>
      <c r="F38" s="82">
        <v>177</v>
      </c>
      <c r="G38" s="82">
        <v>93232</v>
      </c>
      <c r="H38" s="84">
        <v>93232</v>
      </c>
      <c r="I38" s="82">
        <v>100</v>
      </c>
      <c r="J38" s="82">
        <v>169</v>
      </c>
    </row>
    <row r="39" spans="1:10" x14ac:dyDescent="0.2">
      <c r="A39" s="82">
        <v>40</v>
      </c>
      <c r="B39" s="82" t="s">
        <v>151</v>
      </c>
      <c r="C39" s="82" t="s">
        <v>70</v>
      </c>
      <c r="D39" s="82" t="s">
        <v>114</v>
      </c>
      <c r="E39" s="82">
        <v>160</v>
      </c>
      <c r="F39" s="82">
        <v>160</v>
      </c>
      <c r="G39" s="82">
        <v>58195</v>
      </c>
      <c r="H39" s="84">
        <v>57802</v>
      </c>
      <c r="I39" s="82">
        <v>99</v>
      </c>
      <c r="J39" s="82">
        <v>159</v>
      </c>
    </row>
    <row r="40" spans="1:10" x14ac:dyDescent="0.2">
      <c r="A40" s="82">
        <v>41</v>
      </c>
      <c r="B40" s="82" t="s">
        <v>152</v>
      </c>
      <c r="C40" s="82" t="s">
        <v>70</v>
      </c>
      <c r="D40" s="82" t="s">
        <v>114</v>
      </c>
      <c r="E40" s="82">
        <v>119</v>
      </c>
      <c r="F40" s="82">
        <v>120</v>
      </c>
      <c r="G40" s="82">
        <v>69967</v>
      </c>
      <c r="H40" s="84">
        <v>65680</v>
      </c>
      <c r="I40" s="82">
        <v>94</v>
      </c>
      <c r="J40" s="82">
        <v>112</v>
      </c>
    </row>
    <row r="41" spans="1:10" x14ac:dyDescent="0.2">
      <c r="A41" s="82">
        <v>42</v>
      </c>
      <c r="B41" s="82" t="s">
        <v>153</v>
      </c>
      <c r="C41" s="82" t="s">
        <v>70</v>
      </c>
      <c r="D41" s="82" t="s">
        <v>116</v>
      </c>
      <c r="E41" s="82">
        <v>234</v>
      </c>
      <c r="F41" s="82">
        <v>359</v>
      </c>
      <c r="G41" s="82">
        <v>60447</v>
      </c>
      <c r="H41" s="84">
        <v>60447</v>
      </c>
      <c r="I41" s="82">
        <v>100</v>
      </c>
      <c r="J41" s="82">
        <v>234</v>
      </c>
    </row>
    <row r="42" spans="1:10" x14ac:dyDescent="0.2">
      <c r="A42" s="82">
        <v>43</v>
      </c>
      <c r="B42" s="82" t="s">
        <v>154</v>
      </c>
      <c r="C42" s="82" t="s">
        <v>70</v>
      </c>
      <c r="D42" s="82" t="s">
        <v>114</v>
      </c>
      <c r="E42" s="82">
        <v>65</v>
      </c>
      <c r="F42" s="82">
        <v>65</v>
      </c>
      <c r="G42" s="82">
        <v>19122</v>
      </c>
      <c r="H42" s="84">
        <v>19122</v>
      </c>
      <c r="I42" s="82">
        <v>100</v>
      </c>
      <c r="J42" s="82">
        <v>65</v>
      </c>
    </row>
    <row r="43" spans="1:10" x14ac:dyDescent="0.2">
      <c r="A43" s="82">
        <v>44</v>
      </c>
      <c r="B43" s="82" t="s">
        <v>155</v>
      </c>
      <c r="C43" s="82" t="s">
        <v>70</v>
      </c>
      <c r="D43" s="82" t="s">
        <v>114</v>
      </c>
      <c r="E43" s="82">
        <v>86</v>
      </c>
      <c r="F43" s="82">
        <v>86</v>
      </c>
      <c r="G43" s="82">
        <v>26259</v>
      </c>
      <c r="H43" s="84">
        <v>26259</v>
      </c>
      <c r="I43" s="82">
        <v>100</v>
      </c>
      <c r="J43" s="82">
        <v>86</v>
      </c>
    </row>
    <row r="44" spans="1:10" x14ac:dyDescent="0.2">
      <c r="A44" s="82">
        <v>46</v>
      </c>
      <c r="B44" s="82" t="s">
        <v>156</v>
      </c>
      <c r="C44" s="82" t="s">
        <v>70</v>
      </c>
      <c r="D44" s="82" t="s">
        <v>116</v>
      </c>
      <c r="E44" s="82">
        <v>96</v>
      </c>
      <c r="F44" s="82">
        <v>96</v>
      </c>
      <c r="G44" s="82">
        <v>32102</v>
      </c>
      <c r="H44" s="84">
        <v>32102</v>
      </c>
      <c r="I44" s="82">
        <v>100</v>
      </c>
      <c r="J44" s="82">
        <v>96</v>
      </c>
    </row>
    <row r="45" spans="1:10" x14ac:dyDescent="0.2">
      <c r="A45" s="82">
        <v>47</v>
      </c>
      <c r="B45" s="82" t="s">
        <v>157</v>
      </c>
      <c r="C45" s="82" t="s">
        <v>70</v>
      </c>
      <c r="D45" s="82" t="s">
        <v>116</v>
      </c>
      <c r="E45" s="82">
        <v>49</v>
      </c>
      <c r="F45" s="82">
        <v>49</v>
      </c>
      <c r="G45" s="82">
        <v>35633</v>
      </c>
      <c r="H45" s="84">
        <v>35633</v>
      </c>
      <c r="I45" s="82">
        <v>100</v>
      </c>
      <c r="J45" s="82">
        <v>49</v>
      </c>
    </row>
    <row r="46" spans="1:10" x14ac:dyDescent="0.2">
      <c r="A46" s="82">
        <v>48</v>
      </c>
      <c r="B46" s="82" t="s">
        <v>158</v>
      </c>
      <c r="C46" s="82" t="s">
        <v>70</v>
      </c>
      <c r="D46" s="82" t="s">
        <v>116</v>
      </c>
      <c r="E46" s="82">
        <v>115</v>
      </c>
      <c r="F46" s="82">
        <v>690</v>
      </c>
      <c r="G46" s="82">
        <v>101442</v>
      </c>
      <c r="H46" s="84">
        <v>97</v>
      </c>
      <c r="I46" s="82">
        <v>0</v>
      </c>
      <c r="J46" s="82">
        <v>0</v>
      </c>
    </row>
    <row r="47" spans="1:10" x14ac:dyDescent="0.2">
      <c r="A47" s="82">
        <v>50</v>
      </c>
      <c r="B47" s="82" t="s">
        <v>159</v>
      </c>
      <c r="C47" s="82" t="s">
        <v>70</v>
      </c>
      <c r="D47" s="82" t="s">
        <v>114</v>
      </c>
      <c r="E47" s="82">
        <v>130</v>
      </c>
      <c r="F47" s="82">
        <v>296</v>
      </c>
      <c r="G47" s="82">
        <v>55949</v>
      </c>
      <c r="H47" s="84">
        <v>55949</v>
      </c>
      <c r="I47" s="82">
        <v>100</v>
      </c>
      <c r="J47" s="82">
        <v>130</v>
      </c>
    </row>
    <row r="48" spans="1:10" x14ac:dyDescent="0.2">
      <c r="A48" s="82">
        <v>51</v>
      </c>
      <c r="B48" s="82" t="s">
        <v>160</v>
      </c>
      <c r="C48" s="82" t="s">
        <v>70</v>
      </c>
      <c r="D48" s="82" t="s">
        <v>116</v>
      </c>
      <c r="E48" s="82">
        <v>353</v>
      </c>
      <c r="F48" s="82">
        <v>420</v>
      </c>
      <c r="G48" s="82">
        <v>125959</v>
      </c>
      <c r="H48" s="84">
        <v>125959</v>
      </c>
      <c r="I48" s="82">
        <v>100</v>
      </c>
      <c r="J48" s="82">
        <v>353</v>
      </c>
    </row>
    <row r="49" spans="1:10" x14ac:dyDescent="0.2">
      <c r="A49" s="82">
        <v>54</v>
      </c>
      <c r="B49" s="82" t="s">
        <v>161</v>
      </c>
      <c r="C49" s="82" t="s">
        <v>70</v>
      </c>
      <c r="D49" s="82" t="s">
        <v>114</v>
      </c>
      <c r="E49" s="82">
        <v>69</v>
      </c>
      <c r="F49" s="82">
        <v>69</v>
      </c>
      <c r="G49" s="82">
        <v>107244</v>
      </c>
      <c r="H49" s="84">
        <v>107244</v>
      </c>
      <c r="I49" s="82">
        <v>100</v>
      </c>
      <c r="J49" s="82">
        <v>69</v>
      </c>
    </row>
    <row r="50" spans="1:10" x14ac:dyDescent="0.2">
      <c r="A50" s="82">
        <v>55</v>
      </c>
      <c r="B50" s="82" t="s">
        <v>162</v>
      </c>
      <c r="C50" s="82" t="s">
        <v>70</v>
      </c>
      <c r="D50" s="82" t="s">
        <v>116</v>
      </c>
      <c r="E50" s="82">
        <v>84</v>
      </c>
      <c r="F50" s="82">
        <v>84</v>
      </c>
      <c r="G50" s="82">
        <v>10842</v>
      </c>
      <c r="H50" s="84">
        <v>10842</v>
      </c>
      <c r="I50" s="82">
        <v>100</v>
      </c>
      <c r="J50" s="82">
        <v>84</v>
      </c>
    </row>
    <row r="51" spans="1:10" x14ac:dyDescent="0.2">
      <c r="A51" s="82">
        <v>57</v>
      </c>
      <c r="B51" s="82" t="s">
        <v>163</v>
      </c>
      <c r="C51" s="82" t="s">
        <v>70</v>
      </c>
      <c r="D51" s="82" t="s">
        <v>114</v>
      </c>
      <c r="E51" s="82">
        <v>194</v>
      </c>
      <c r="F51" s="82">
        <v>330</v>
      </c>
      <c r="G51" s="82">
        <v>17097</v>
      </c>
      <c r="H51" s="84">
        <v>17097</v>
      </c>
      <c r="I51" s="82">
        <v>100</v>
      </c>
      <c r="J51" s="82">
        <v>194</v>
      </c>
    </row>
    <row r="52" spans="1:10" x14ac:dyDescent="0.2">
      <c r="A52" s="82">
        <v>58</v>
      </c>
      <c r="B52" s="82" t="s">
        <v>164</v>
      </c>
      <c r="C52" s="82" t="s">
        <v>70</v>
      </c>
      <c r="D52" s="82" t="s">
        <v>116</v>
      </c>
      <c r="E52" s="82">
        <v>70</v>
      </c>
      <c r="F52" s="82">
        <v>176</v>
      </c>
      <c r="G52" s="82">
        <v>59641</v>
      </c>
      <c r="H52" s="84">
        <v>59641</v>
      </c>
      <c r="I52" s="82">
        <v>100</v>
      </c>
      <c r="J52" s="82">
        <v>70</v>
      </c>
    </row>
    <row r="53" spans="1:10" x14ac:dyDescent="0.2">
      <c r="A53" s="82">
        <v>1050</v>
      </c>
      <c r="B53" s="82" t="s">
        <v>165</v>
      </c>
      <c r="C53" s="82" t="s">
        <v>70</v>
      </c>
      <c r="D53" s="82" t="s">
        <v>116</v>
      </c>
      <c r="E53" s="82">
        <v>120</v>
      </c>
      <c r="F53" s="82">
        <v>1000</v>
      </c>
      <c r="G53" s="82">
        <v>129480</v>
      </c>
      <c r="H53" s="84">
        <v>129480</v>
      </c>
      <c r="I53" s="82">
        <v>100</v>
      </c>
      <c r="J53" s="82">
        <v>120</v>
      </c>
    </row>
    <row r="54" spans="1:10" x14ac:dyDescent="0.2">
      <c r="A54" s="82">
        <v>4</v>
      </c>
      <c r="B54" s="82" t="s">
        <v>166</v>
      </c>
      <c r="C54" s="82" t="s">
        <v>75</v>
      </c>
      <c r="D54" s="82" t="s">
        <v>114</v>
      </c>
      <c r="E54" s="82">
        <v>94</v>
      </c>
      <c r="F54" s="82">
        <v>157</v>
      </c>
      <c r="G54" s="82">
        <v>159483</v>
      </c>
      <c r="H54" s="85">
        <v>0</v>
      </c>
      <c r="I54" s="86">
        <v>0</v>
      </c>
      <c r="J54" s="86">
        <v>0</v>
      </c>
    </row>
    <row r="55" spans="1:10" x14ac:dyDescent="0.2">
      <c r="A55" s="82">
        <v>11</v>
      </c>
      <c r="B55" s="82" t="s">
        <v>167</v>
      </c>
      <c r="C55" s="82" t="s">
        <v>75</v>
      </c>
      <c r="D55" s="82" t="s">
        <v>114</v>
      </c>
      <c r="E55" s="82">
        <v>59</v>
      </c>
      <c r="F55" s="82">
        <v>59</v>
      </c>
      <c r="G55" s="82">
        <v>497715</v>
      </c>
      <c r="H55" s="85">
        <v>0</v>
      </c>
      <c r="I55" s="86">
        <v>0</v>
      </c>
      <c r="J55" s="86">
        <v>0</v>
      </c>
    </row>
    <row r="56" spans="1:10" x14ac:dyDescent="0.2">
      <c r="A56" s="82">
        <v>16</v>
      </c>
      <c r="B56" s="82" t="s">
        <v>168</v>
      </c>
      <c r="C56" s="82" t="s">
        <v>70</v>
      </c>
      <c r="D56" s="82" t="s">
        <v>114</v>
      </c>
      <c r="E56" s="82">
        <v>150</v>
      </c>
      <c r="F56" s="82">
        <v>150</v>
      </c>
      <c r="G56" s="82">
        <v>265414</v>
      </c>
      <c r="H56" s="85">
        <v>0</v>
      </c>
      <c r="I56" s="86">
        <v>0</v>
      </c>
      <c r="J56" s="86">
        <v>0</v>
      </c>
    </row>
    <row r="57" spans="1:10" x14ac:dyDescent="0.2">
      <c r="A57" s="82">
        <v>17</v>
      </c>
      <c r="B57" s="82" t="s">
        <v>169</v>
      </c>
      <c r="C57" s="82" t="s">
        <v>70</v>
      </c>
      <c r="D57" s="82" t="s">
        <v>114</v>
      </c>
      <c r="E57" s="82">
        <v>360</v>
      </c>
      <c r="F57" s="82">
        <v>360</v>
      </c>
      <c r="G57" s="82">
        <v>61812</v>
      </c>
      <c r="H57" s="85">
        <v>0</v>
      </c>
      <c r="I57" s="86">
        <v>0</v>
      </c>
      <c r="J57" s="86">
        <v>0</v>
      </c>
    </row>
    <row r="58" spans="1:10" x14ac:dyDescent="0.2">
      <c r="A58" s="82">
        <v>20</v>
      </c>
      <c r="B58" s="82" t="s">
        <v>170</v>
      </c>
      <c r="C58" s="82" t="s">
        <v>70</v>
      </c>
      <c r="D58" s="82" t="s">
        <v>116</v>
      </c>
      <c r="E58" s="82">
        <v>290</v>
      </c>
      <c r="F58" s="82">
        <v>600</v>
      </c>
      <c r="G58" s="82">
        <v>153976</v>
      </c>
      <c r="H58" s="85">
        <v>0</v>
      </c>
      <c r="I58" s="86">
        <v>0</v>
      </c>
      <c r="J58" s="86">
        <v>0</v>
      </c>
    </row>
    <row r="59" spans="1:10" x14ac:dyDescent="0.2">
      <c r="A59" s="82">
        <v>36</v>
      </c>
      <c r="B59" s="82" t="s">
        <v>171</v>
      </c>
      <c r="C59" s="82" t="s">
        <v>70</v>
      </c>
      <c r="D59" s="82" t="s">
        <v>114</v>
      </c>
      <c r="E59" s="82">
        <v>30</v>
      </c>
      <c r="F59" s="82">
        <v>30</v>
      </c>
      <c r="G59" s="82">
        <v>13439</v>
      </c>
      <c r="H59" s="85">
        <v>0</v>
      </c>
      <c r="I59" s="86">
        <v>0</v>
      </c>
      <c r="J59" s="86">
        <v>0</v>
      </c>
    </row>
    <row r="60" spans="1:10" x14ac:dyDescent="0.2">
      <c r="A60" s="82">
        <v>80</v>
      </c>
      <c r="B60" s="82" t="s">
        <v>172</v>
      </c>
      <c r="C60" s="82" t="s">
        <v>73</v>
      </c>
      <c r="D60" s="82" t="s">
        <v>116</v>
      </c>
      <c r="E60" s="82">
        <v>85</v>
      </c>
      <c r="F60" s="82">
        <v>366</v>
      </c>
      <c r="G60" s="82">
        <v>320007</v>
      </c>
      <c r="H60" s="85">
        <v>0</v>
      </c>
      <c r="I60" s="86">
        <v>0</v>
      </c>
      <c r="J60" s="86">
        <v>0</v>
      </c>
    </row>
    <row r="61" spans="1:10" x14ac:dyDescent="0.2">
      <c r="A61" s="82">
        <v>100</v>
      </c>
      <c r="B61" s="82" t="s">
        <v>173</v>
      </c>
      <c r="C61" s="82" t="s">
        <v>70</v>
      </c>
      <c r="D61" s="82" t="s">
        <v>114</v>
      </c>
      <c r="E61" s="82">
        <v>35</v>
      </c>
      <c r="F61" s="82">
        <v>123</v>
      </c>
      <c r="G61" s="82">
        <v>19610</v>
      </c>
      <c r="H61" s="85">
        <v>0</v>
      </c>
      <c r="I61" s="86">
        <v>0</v>
      </c>
      <c r="J61" s="86">
        <v>0</v>
      </c>
    </row>
    <row r="62" spans="1:10" x14ac:dyDescent="0.2">
      <c r="A62" s="82">
        <v>999</v>
      </c>
      <c r="B62" s="82" t="s">
        <v>174</v>
      </c>
      <c r="C62" s="82" t="s">
        <v>72</v>
      </c>
      <c r="D62" s="82" t="s">
        <v>116</v>
      </c>
      <c r="E62" s="82">
        <v>80</v>
      </c>
      <c r="F62" s="82">
        <v>173</v>
      </c>
      <c r="G62" s="82">
        <v>22283</v>
      </c>
      <c r="H62" s="85">
        <v>0</v>
      </c>
      <c r="I62" s="86">
        <v>0</v>
      </c>
      <c r="J62" s="86">
        <v>0</v>
      </c>
    </row>
    <row r="65" spans="3:11" ht="15" x14ac:dyDescent="0.25">
      <c r="C65" s="82" t="s">
        <v>70</v>
      </c>
      <c r="E65" s="82">
        <f>+SUMIF(Table1[s_sveitafela],"Reykjavík",Table1[ib_fj_v2])</f>
        <v>4500</v>
      </c>
      <c r="J65" s="82">
        <f>+SUMIF(Table1[s_sveitafela],"Reykjavík",Table1[ib_hlutfal])</f>
        <v>3207</v>
      </c>
      <c r="K65" s="87">
        <f>+J65/E65</f>
        <v>0.71266666666666667</v>
      </c>
    </row>
    <row r="66" spans="3:11" ht="15" x14ac:dyDescent="0.25">
      <c r="C66" s="82" t="s">
        <v>71</v>
      </c>
      <c r="E66" s="82">
        <f>+SUMIF(Table1[s_sveitafela],"Kópavogur",Table1[ib_fj_v2])</f>
        <v>1511</v>
      </c>
      <c r="J66" s="82">
        <f>+SUMIF(Table1[s_sveitafela],"Kópavogur",Table1[ib_hlutfal])</f>
        <v>1307</v>
      </c>
      <c r="K66" s="87">
        <f>+J66/E66</f>
        <v>0.8649900727994706</v>
      </c>
    </row>
    <row r="67" spans="3:11" ht="15" x14ac:dyDescent="0.25">
      <c r="C67" s="82" t="s">
        <v>72</v>
      </c>
      <c r="E67" s="82">
        <f>+SUMIF(Table1[s_sveitafela],"Seltjarnarnes",Table1[ib_fj_v2])</f>
        <v>80</v>
      </c>
      <c r="J67" s="82">
        <f>+SUMIF(Table1[s_sveitafela],"Seltjarnarnes",Table1[ib_hlutfal])</f>
        <v>0</v>
      </c>
      <c r="K67" s="87">
        <f>+J67/E67</f>
        <v>0</v>
      </c>
    </row>
    <row r="68" spans="3:11" ht="15" x14ac:dyDescent="0.25">
      <c r="C68" s="82" t="s">
        <v>73</v>
      </c>
      <c r="E68" s="82">
        <f>+SUMIF(Table1[s_sveitafela],"Garðabær",Table1[ib_fj_v2])</f>
        <v>1260</v>
      </c>
      <c r="J68" s="82">
        <f>+SUMIF(Table1[s_sveitafela],"Garðabær",Table1[ib_hlutfal])</f>
        <v>349</v>
      </c>
      <c r="K68" s="87">
        <f t="shared" ref="K68:K71" si="0">+J68/E68</f>
        <v>0.276984126984127</v>
      </c>
    </row>
    <row r="69" spans="3:11" ht="15" x14ac:dyDescent="0.25">
      <c r="C69" s="82" t="s">
        <v>74</v>
      </c>
      <c r="E69" s="82">
        <f>+SUMIF(Table1[s_sveitafela],"Hafnarfjörður",Table1[ib_fj_v2])</f>
        <v>719</v>
      </c>
      <c r="J69" s="82">
        <f>+SUMIF(Table1[s_sveitafela],"Hafnarfjörður",Table1[ib_hlutfal])</f>
        <v>405</v>
      </c>
      <c r="K69" s="87">
        <f t="shared" si="0"/>
        <v>0.5632823365785814</v>
      </c>
    </row>
    <row r="70" spans="3:11" ht="15" x14ac:dyDescent="0.25">
      <c r="C70" s="82" t="s">
        <v>75</v>
      </c>
      <c r="E70" s="82">
        <f>+SUMIF(Table1[s_sveitafela],"Mosfellsbær",Table1[ib_fj_v2])</f>
        <v>514</v>
      </c>
      <c r="J70" s="82">
        <f>+SUMIF(Table1[s_sveitafela],"Mosfellsbær",Table1[ib_hlutfal])</f>
        <v>361</v>
      </c>
      <c r="K70" s="87">
        <f t="shared" si="0"/>
        <v>0.7023346303501945</v>
      </c>
    </row>
    <row r="71" spans="3:11" ht="15" x14ac:dyDescent="0.25">
      <c r="C71" s="82" t="s">
        <v>76</v>
      </c>
      <c r="E71" s="82">
        <f>+SUM(E65:E70)</f>
        <v>8584</v>
      </c>
      <c r="J71" s="82">
        <f>+SUM(J65:J70)</f>
        <v>5629</v>
      </c>
      <c r="K71" s="87">
        <f t="shared" si="0"/>
        <v>0.65575489282385835</v>
      </c>
    </row>
  </sheetData>
  <mergeCells count="1">
    <mergeCell ref="H1:J1"/>
  </mergeCells>
  <pageMargins left="0.70866141732283472" right="0.70866141732283472" top="0.74803149606299213" bottom="0.74803149606299213" header="0.31496062992125984" footer="0.31496062992125984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BFF7E-AEC5-466E-B4CE-85C42B0D14D6}">
  <dimension ref="A1:K63"/>
  <sheetViews>
    <sheetView topLeftCell="A28" workbookViewId="0">
      <selection activeCell="O40" sqref="O40"/>
    </sheetView>
  </sheetViews>
  <sheetFormatPr defaultRowHeight="12.75" x14ac:dyDescent="0.2"/>
  <cols>
    <col min="1" max="2" width="9.140625" style="82"/>
    <col min="3" max="3" width="12.42578125" style="82" customWidth="1"/>
    <col min="4" max="4" width="9.140625" style="82"/>
    <col min="5" max="5" width="15.140625" style="82" customWidth="1"/>
    <col min="6" max="7" width="9.140625" style="82"/>
    <col min="8" max="8" width="9.140625" style="84"/>
    <col min="9" max="9" width="9.140625" style="82"/>
    <col min="10" max="10" width="15" style="82" customWidth="1"/>
    <col min="11" max="16384" width="9.140625" style="82"/>
  </cols>
  <sheetData>
    <row r="1" spans="1:10" x14ac:dyDescent="0.2">
      <c r="C1" s="88"/>
      <c r="H1" s="112" t="s">
        <v>102</v>
      </c>
      <c r="I1" s="112"/>
      <c r="J1" s="112"/>
    </row>
    <row r="2" spans="1:10" x14ac:dyDescent="0.2">
      <c r="A2" s="82" t="s">
        <v>103</v>
      </c>
      <c r="B2" s="82" t="s">
        <v>104</v>
      </c>
      <c r="C2" s="82" t="s">
        <v>105</v>
      </c>
      <c r="D2" s="82" t="s">
        <v>106</v>
      </c>
      <c r="E2" s="82" t="s">
        <v>178</v>
      </c>
      <c r="F2" s="82" t="s">
        <v>179</v>
      </c>
      <c r="G2" s="82" t="s">
        <v>109</v>
      </c>
      <c r="H2" s="84" t="s">
        <v>110</v>
      </c>
      <c r="I2" s="82" t="s">
        <v>111</v>
      </c>
      <c r="J2" s="82" t="s">
        <v>180</v>
      </c>
    </row>
    <row r="3" spans="1:10" x14ac:dyDescent="0.2">
      <c r="A3" s="82">
        <v>75</v>
      </c>
      <c r="B3" s="82" t="s">
        <v>115</v>
      </c>
      <c r="C3" s="82" t="s">
        <v>73</v>
      </c>
      <c r="D3" s="82" t="s">
        <v>116</v>
      </c>
      <c r="E3" s="82">
        <v>18200</v>
      </c>
      <c r="F3" s="82">
        <v>75000</v>
      </c>
      <c r="G3" s="82">
        <v>159862</v>
      </c>
      <c r="H3" s="84">
        <v>159862</v>
      </c>
      <c r="I3" s="82">
        <v>100</v>
      </c>
      <c r="J3" s="82">
        <v>18200</v>
      </c>
    </row>
    <row r="4" spans="1:10" x14ac:dyDescent="0.2">
      <c r="A4" s="82">
        <v>76</v>
      </c>
      <c r="B4" s="82" t="s">
        <v>117</v>
      </c>
      <c r="C4" s="82" t="s">
        <v>73</v>
      </c>
      <c r="D4" s="82" t="s">
        <v>116</v>
      </c>
      <c r="E4" s="82">
        <v>2000</v>
      </c>
      <c r="F4" s="82">
        <v>28590</v>
      </c>
      <c r="G4" s="82">
        <v>719687</v>
      </c>
      <c r="H4" s="84">
        <v>56095</v>
      </c>
      <c r="I4" s="82">
        <v>8</v>
      </c>
      <c r="J4" s="82">
        <v>156</v>
      </c>
    </row>
    <row r="5" spans="1:10" x14ac:dyDescent="0.2">
      <c r="A5" s="82">
        <v>77</v>
      </c>
      <c r="B5" s="82" t="s">
        <v>181</v>
      </c>
      <c r="C5" s="82" t="s">
        <v>73</v>
      </c>
      <c r="D5" s="82" t="s">
        <v>182</v>
      </c>
      <c r="E5" s="82">
        <v>9000</v>
      </c>
      <c r="F5" s="82">
        <v>9000</v>
      </c>
      <c r="G5" s="82">
        <v>429826</v>
      </c>
      <c r="H5" s="84">
        <v>409058</v>
      </c>
      <c r="I5" s="82">
        <v>95</v>
      </c>
      <c r="J5" s="82">
        <v>8565</v>
      </c>
    </row>
    <row r="6" spans="1:10" x14ac:dyDescent="0.2">
      <c r="A6" s="82">
        <v>78</v>
      </c>
      <c r="B6" s="82" t="s">
        <v>183</v>
      </c>
      <c r="C6" s="82" t="s">
        <v>73</v>
      </c>
      <c r="D6" s="82" t="s">
        <v>182</v>
      </c>
      <c r="E6" s="82">
        <v>1600</v>
      </c>
      <c r="F6" s="82">
        <v>1600</v>
      </c>
      <c r="G6" s="82">
        <v>12300</v>
      </c>
      <c r="H6" s="84">
        <v>12300</v>
      </c>
      <c r="I6" s="82">
        <v>100</v>
      </c>
      <c r="J6" s="82">
        <v>1600</v>
      </c>
    </row>
    <row r="7" spans="1:10" x14ac:dyDescent="0.2">
      <c r="A7" s="82">
        <v>84</v>
      </c>
      <c r="B7" s="82" t="s">
        <v>184</v>
      </c>
      <c r="C7" s="82" t="s">
        <v>74</v>
      </c>
      <c r="D7" s="82" t="s">
        <v>182</v>
      </c>
      <c r="E7" s="82">
        <v>6000</v>
      </c>
      <c r="F7" s="82">
        <v>18000</v>
      </c>
      <c r="G7" s="82">
        <v>420264</v>
      </c>
      <c r="H7" s="84">
        <v>195185</v>
      </c>
      <c r="I7" s="82">
        <v>46</v>
      </c>
      <c r="J7" s="82">
        <v>2787</v>
      </c>
    </row>
    <row r="8" spans="1:10" x14ac:dyDescent="0.2">
      <c r="A8" s="82">
        <v>91</v>
      </c>
      <c r="B8" s="82" t="s">
        <v>185</v>
      </c>
      <c r="C8" s="82" t="s">
        <v>74</v>
      </c>
      <c r="D8" s="82" t="s">
        <v>182</v>
      </c>
      <c r="E8" s="82">
        <v>6000</v>
      </c>
      <c r="F8" s="82">
        <v>21112</v>
      </c>
      <c r="G8" s="82">
        <v>142640</v>
      </c>
      <c r="H8" s="84">
        <v>141315</v>
      </c>
      <c r="I8" s="82">
        <v>99</v>
      </c>
      <c r="J8" s="82">
        <v>5944</v>
      </c>
    </row>
    <row r="9" spans="1:10" x14ac:dyDescent="0.2">
      <c r="A9" s="82">
        <v>92</v>
      </c>
      <c r="B9" s="82" t="s">
        <v>186</v>
      </c>
      <c r="C9" s="82" t="s">
        <v>74</v>
      </c>
      <c r="D9" s="82" t="s">
        <v>182</v>
      </c>
      <c r="E9" s="82">
        <v>7500</v>
      </c>
      <c r="F9" s="82">
        <v>9619</v>
      </c>
      <c r="G9" s="82">
        <v>174319</v>
      </c>
      <c r="H9" s="84">
        <v>137447</v>
      </c>
      <c r="I9" s="82">
        <v>79</v>
      </c>
      <c r="J9" s="82">
        <v>5914</v>
      </c>
    </row>
    <row r="10" spans="1:10" x14ac:dyDescent="0.2">
      <c r="A10" s="82">
        <v>93</v>
      </c>
      <c r="B10" s="82" t="s">
        <v>187</v>
      </c>
      <c r="C10" s="82" t="s">
        <v>74</v>
      </c>
      <c r="D10" s="82" t="s">
        <v>182</v>
      </c>
      <c r="E10" s="82">
        <v>6000</v>
      </c>
      <c r="F10" s="82">
        <v>24217</v>
      </c>
      <c r="G10" s="82">
        <v>85430</v>
      </c>
      <c r="H10" s="84">
        <v>85430</v>
      </c>
      <c r="I10" s="82">
        <v>100</v>
      </c>
      <c r="J10" s="82">
        <v>6000</v>
      </c>
    </row>
    <row r="11" spans="1:10" x14ac:dyDescent="0.2">
      <c r="A11" s="82">
        <v>61</v>
      </c>
      <c r="B11" s="82" t="s">
        <v>188</v>
      </c>
      <c r="C11" s="82" t="s">
        <v>71</v>
      </c>
      <c r="D11" s="82" t="s">
        <v>182</v>
      </c>
      <c r="E11" s="82">
        <v>10000</v>
      </c>
      <c r="F11" s="82">
        <v>45300</v>
      </c>
      <c r="G11" s="82">
        <v>312700</v>
      </c>
      <c r="H11" s="84">
        <v>61</v>
      </c>
      <c r="I11" s="82">
        <v>0</v>
      </c>
      <c r="J11" s="82">
        <v>2</v>
      </c>
    </row>
    <row r="12" spans="1:10" x14ac:dyDescent="0.2">
      <c r="A12" s="82">
        <v>64</v>
      </c>
      <c r="B12" s="82" t="s">
        <v>127</v>
      </c>
      <c r="C12" s="82" t="s">
        <v>71</v>
      </c>
      <c r="D12" s="82" t="s">
        <v>116</v>
      </c>
      <c r="E12" s="82">
        <v>1500</v>
      </c>
      <c r="F12" s="82">
        <v>55000</v>
      </c>
      <c r="G12" s="82">
        <v>94206</v>
      </c>
      <c r="H12" s="84">
        <v>93402</v>
      </c>
      <c r="I12" s="82">
        <v>99</v>
      </c>
      <c r="J12" s="82">
        <v>1487</v>
      </c>
    </row>
    <row r="13" spans="1:10" x14ac:dyDescent="0.2">
      <c r="A13" s="82">
        <v>67</v>
      </c>
      <c r="B13" s="82" t="s">
        <v>189</v>
      </c>
      <c r="C13" s="82" t="s">
        <v>71</v>
      </c>
      <c r="D13" s="82" t="s">
        <v>182</v>
      </c>
      <c r="E13" s="82">
        <v>4000</v>
      </c>
      <c r="F13" s="82">
        <v>28652</v>
      </c>
      <c r="G13" s="82">
        <v>81417</v>
      </c>
      <c r="H13" s="84">
        <v>81417</v>
      </c>
      <c r="I13" s="82">
        <v>100</v>
      </c>
      <c r="J13" s="82">
        <v>4000</v>
      </c>
    </row>
    <row r="14" spans="1:10" x14ac:dyDescent="0.2">
      <c r="A14" s="82">
        <v>70</v>
      </c>
      <c r="B14" s="82" t="s">
        <v>132</v>
      </c>
      <c r="C14" s="82" t="s">
        <v>71</v>
      </c>
      <c r="D14" s="82" t="s">
        <v>116</v>
      </c>
      <c r="E14" s="82">
        <v>0</v>
      </c>
      <c r="F14" s="82">
        <v>36546</v>
      </c>
      <c r="G14" s="82">
        <v>203739</v>
      </c>
      <c r="H14" s="84">
        <v>159410</v>
      </c>
      <c r="I14" s="82">
        <v>78</v>
      </c>
      <c r="J14" s="82">
        <v>0</v>
      </c>
    </row>
    <row r="15" spans="1:10" x14ac:dyDescent="0.2">
      <c r="A15" s="82">
        <v>73</v>
      </c>
      <c r="B15" s="82" t="s">
        <v>135</v>
      </c>
      <c r="C15" s="82" t="s">
        <v>71</v>
      </c>
      <c r="D15" s="82" t="s">
        <v>116</v>
      </c>
      <c r="E15" s="82">
        <v>6800</v>
      </c>
      <c r="F15" s="82">
        <v>42032</v>
      </c>
      <c r="G15" s="82">
        <v>351549</v>
      </c>
      <c r="H15" s="84">
        <v>345391</v>
      </c>
      <c r="I15" s="82">
        <v>98</v>
      </c>
      <c r="J15" s="82">
        <v>6681</v>
      </c>
    </row>
    <row r="16" spans="1:10" x14ac:dyDescent="0.2">
      <c r="A16" s="82">
        <v>2</v>
      </c>
      <c r="B16" s="82" t="s">
        <v>190</v>
      </c>
      <c r="C16" s="82" t="s">
        <v>75</v>
      </c>
      <c r="D16" s="82" t="s">
        <v>182</v>
      </c>
      <c r="E16" s="82">
        <v>5625</v>
      </c>
      <c r="F16" s="82">
        <v>90000</v>
      </c>
      <c r="G16" s="82">
        <v>126606</v>
      </c>
      <c r="H16" s="84">
        <v>126606</v>
      </c>
      <c r="I16" s="82">
        <v>100</v>
      </c>
      <c r="J16" s="82">
        <v>5625</v>
      </c>
    </row>
    <row r="17" spans="1:10" x14ac:dyDescent="0.2">
      <c r="A17" s="82">
        <v>9</v>
      </c>
      <c r="B17" s="82" t="s">
        <v>191</v>
      </c>
      <c r="C17" s="82" t="s">
        <v>75</v>
      </c>
      <c r="D17" s="82" t="s">
        <v>182</v>
      </c>
      <c r="E17" s="82">
        <v>18000</v>
      </c>
      <c r="F17" s="82">
        <v>22500</v>
      </c>
      <c r="G17" s="82">
        <v>60199</v>
      </c>
      <c r="H17" s="84">
        <v>60199</v>
      </c>
      <c r="I17" s="82">
        <v>100</v>
      </c>
      <c r="J17" s="82">
        <v>18000</v>
      </c>
    </row>
    <row r="18" spans="1:10" x14ac:dyDescent="0.2">
      <c r="A18" s="82">
        <v>10</v>
      </c>
      <c r="B18" s="82" t="s">
        <v>139</v>
      </c>
      <c r="C18" s="82" t="s">
        <v>75</v>
      </c>
      <c r="D18" s="82" t="s">
        <v>116</v>
      </c>
      <c r="E18" s="82">
        <v>1698</v>
      </c>
      <c r="F18" s="82">
        <v>1698</v>
      </c>
      <c r="G18" s="82">
        <v>289798</v>
      </c>
      <c r="H18" s="84">
        <v>289798</v>
      </c>
      <c r="I18" s="82">
        <v>100</v>
      </c>
      <c r="J18" s="82">
        <v>1698</v>
      </c>
    </row>
    <row r="19" spans="1:10" x14ac:dyDescent="0.2">
      <c r="A19" s="82">
        <v>19</v>
      </c>
      <c r="B19" s="82" t="s">
        <v>192</v>
      </c>
      <c r="C19" s="82" t="s">
        <v>70</v>
      </c>
      <c r="D19" s="82" t="s">
        <v>182</v>
      </c>
      <c r="E19" s="82">
        <v>11488</v>
      </c>
      <c r="F19" s="82">
        <v>11488</v>
      </c>
      <c r="G19" s="82">
        <v>37084</v>
      </c>
      <c r="H19" s="84">
        <v>7965</v>
      </c>
      <c r="I19" s="82">
        <v>21</v>
      </c>
      <c r="J19" s="82">
        <v>2467</v>
      </c>
    </row>
    <row r="20" spans="1:10" x14ac:dyDescent="0.2">
      <c r="A20" s="82">
        <v>22</v>
      </c>
      <c r="B20" s="82" t="s">
        <v>193</v>
      </c>
      <c r="C20" s="82" t="s">
        <v>70</v>
      </c>
      <c r="D20" s="82" t="s">
        <v>182</v>
      </c>
      <c r="E20" s="82">
        <v>5000</v>
      </c>
      <c r="F20" s="82">
        <v>70000</v>
      </c>
      <c r="G20" s="82">
        <v>795289</v>
      </c>
      <c r="H20" s="84">
        <v>391290</v>
      </c>
      <c r="I20" s="82">
        <v>49</v>
      </c>
      <c r="J20" s="82">
        <v>2460</v>
      </c>
    </row>
    <row r="21" spans="1:10" x14ac:dyDescent="0.2">
      <c r="A21" s="82">
        <v>24</v>
      </c>
      <c r="B21" s="82" t="s">
        <v>194</v>
      </c>
      <c r="C21" s="82" t="s">
        <v>70</v>
      </c>
      <c r="D21" s="82" t="s">
        <v>182</v>
      </c>
      <c r="E21" s="82">
        <v>5000</v>
      </c>
      <c r="F21" s="82">
        <v>10000</v>
      </c>
      <c r="G21" s="82">
        <v>98314</v>
      </c>
      <c r="H21" s="84">
        <v>87259</v>
      </c>
      <c r="I21" s="82">
        <v>89</v>
      </c>
      <c r="J21" s="82">
        <v>4438</v>
      </c>
    </row>
    <row r="22" spans="1:10" x14ac:dyDescent="0.2">
      <c r="A22" s="82">
        <v>26</v>
      </c>
      <c r="B22" s="82" t="s">
        <v>142</v>
      </c>
      <c r="C22" s="82" t="s">
        <v>70</v>
      </c>
      <c r="D22" s="82" t="s">
        <v>116</v>
      </c>
      <c r="E22" s="82">
        <v>6000</v>
      </c>
      <c r="F22" s="82">
        <v>40000</v>
      </c>
      <c r="G22" s="82">
        <v>57534</v>
      </c>
      <c r="H22" s="84">
        <v>57534</v>
      </c>
      <c r="I22" s="82">
        <v>100</v>
      </c>
      <c r="J22" s="82">
        <v>6000</v>
      </c>
    </row>
    <row r="23" spans="1:10" x14ac:dyDescent="0.2">
      <c r="A23" s="82">
        <v>27</v>
      </c>
      <c r="B23" s="82" t="s">
        <v>143</v>
      </c>
      <c r="C23" s="82" t="s">
        <v>70</v>
      </c>
      <c r="D23" s="82" t="s">
        <v>116</v>
      </c>
      <c r="E23" s="82">
        <v>-6000</v>
      </c>
      <c r="F23" s="82">
        <v>50000</v>
      </c>
      <c r="G23" s="82">
        <v>144737</v>
      </c>
      <c r="H23" s="84">
        <v>144737</v>
      </c>
      <c r="I23" s="82">
        <v>100</v>
      </c>
      <c r="J23" s="82">
        <v>-6000</v>
      </c>
    </row>
    <row r="24" spans="1:10" x14ac:dyDescent="0.2">
      <c r="A24" s="82">
        <v>28</v>
      </c>
      <c r="B24" s="82" t="s">
        <v>144</v>
      </c>
      <c r="C24" s="82" t="s">
        <v>70</v>
      </c>
      <c r="D24" s="82" t="s">
        <v>116</v>
      </c>
      <c r="E24" s="82">
        <v>4000</v>
      </c>
      <c r="F24" s="82">
        <v>10000</v>
      </c>
      <c r="G24" s="82">
        <v>164318</v>
      </c>
      <c r="H24" s="84">
        <v>150901</v>
      </c>
      <c r="I24" s="82">
        <v>92</v>
      </c>
      <c r="J24" s="82">
        <v>3673</v>
      </c>
    </row>
    <row r="25" spans="1:10" x14ac:dyDescent="0.2">
      <c r="A25" s="82">
        <v>33</v>
      </c>
      <c r="B25" s="82" t="s">
        <v>195</v>
      </c>
      <c r="C25" s="82" t="s">
        <v>70</v>
      </c>
      <c r="D25" s="82" t="s">
        <v>182</v>
      </c>
      <c r="E25" s="82">
        <v>12000</v>
      </c>
      <c r="F25" s="82">
        <v>36344</v>
      </c>
      <c r="G25" s="82">
        <v>1637589</v>
      </c>
      <c r="H25" s="84">
        <v>818904</v>
      </c>
      <c r="I25" s="82">
        <v>50</v>
      </c>
      <c r="J25" s="82">
        <v>6001</v>
      </c>
    </row>
    <row r="26" spans="1:10" x14ac:dyDescent="0.2">
      <c r="A26" s="82">
        <v>34</v>
      </c>
      <c r="B26" s="82" t="s">
        <v>148</v>
      </c>
      <c r="C26" s="82" t="s">
        <v>70</v>
      </c>
      <c r="D26" s="82" t="s">
        <v>116</v>
      </c>
      <c r="E26" s="82">
        <v>-2950</v>
      </c>
      <c r="F26" s="82">
        <v>100</v>
      </c>
      <c r="G26" s="82">
        <v>16937</v>
      </c>
      <c r="H26" s="84">
        <v>16937</v>
      </c>
      <c r="I26" s="82">
        <v>100</v>
      </c>
      <c r="J26" s="82">
        <v>-2950</v>
      </c>
    </row>
    <row r="27" spans="1:10" x14ac:dyDescent="0.2">
      <c r="A27" s="82">
        <v>35</v>
      </c>
      <c r="B27" s="82" t="s">
        <v>149</v>
      </c>
      <c r="C27" s="82" t="s">
        <v>70</v>
      </c>
      <c r="D27" s="82" t="s">
        <v>116</v>
      </c>
      <c r="E27" s="82">
        <v>-3800</v>
      </c>
      <c r="F27" s="82">
        <v>-4600</v>
      </c>
      <c r="G27" s="82">
        <v>32715</v>
      </c>
      <c r="H27" s="84">
        <v>32715</v>
      </c>
      <c r="I27" s="82">
        <v>100</v>
      </c>
      <c r="J27" s="82">
        <v>-3800</v>
      </c>
    </row>
    <row r="28" spans="1:10" x14ac:dyDescent="0.2">
      <c r="A28" s="82">
        <v>38</v>
      </c>
      <c r="B28" s="82" t="s">
        <v>165</v>
      </c>
      <c r="C28" s="82" t="s">
        <v>70</v>
      </c>
      <c r="D28" s="82" t="s">
        <v>116</v>
      </c>
      <c r="E28" s="82">
        <v>-7000</v>
      </c>
      <c r="F28" s="82">
        <v>60000</v>
      </c>
      <c r="G28" s="82">
        <v>129512</v>
      </c>
      <c r="H28" s="84">
        <v>129512</v>
      </c>
      <c r="I28" s="82">
        <v>100</v>
      </c>
      <c r="J28" s="82">
        <v>-7000</v>
      </c>
    </row>
    <row r="29" spans="1:10" x14ac:dyDescent="0.2">
      <c r="A29" s="82">
        <v>42</v>
      </c>
      <c r="B29" s="82" t="s">
        <v>153</v>
      </c>
      <c r="C29" s="82" t="s">
        <v>70</v>
      </c>
      <c r="D29" s="82" t="s">
        <v>116</v>
      </c>
      <c r="E29" s="82">
        <v>8650</v>
      </c>
      <c r="F29" s="82">
        <v>48200</v>
      </c>
      <c r="G29" s="82">
        <v>60447</v>
      </c>
      <c r="H29" s="84">
        <v>60447</v>
      </c>
      <c r="I29" s="82">
        <v>100</v>
      </c>
      <c r="J29" s="82">
        <v>8650</v>
      </c>
    </row>
    <row r="30" spans="1:10" x14ac:dyDescent="0.2">
      <c r="A30" s="82">
        <v>46</v>
      </c>
      <c r="B30" s="82" t="s">
        <v>156</v>
      </c>
      <c r="C30" s="82" t="s">
        <v>70</v>
      </c>
      <c r="D30" s="82" t="s">
        <v>116</v>
      </c>
      <c r="E30" s="82">
        <v>12000</v>
      </c>
      <c r="F30" s="82">
        <v>12000</v>
      </c>
      <c r="G30" s="82">
        <v>32102</v>
      </c>
      <c r="H30" s="84">
        <v>32102</v>
      </c>
      <c r="I30" s="82">
        <v>100</v>
      </c>
      <c r="J30" s="82">
        <v>12000</v>
      </c>
    </row>
    <row r="31" spans="1:10" x14ac:dyDescent="0.2">
      <c r="A31" s="82">
        <v>47</v>
      </c>
      <c r="B31" s="82" t="s">
        <v>157</v>
      </c>
      <c r="C31" s="82" t="s">
        <v>70</v>
      </c>
      <c r="D31" s="82" t="s">
        <v>116</v>
      </c>
      <c r="E31" s="82">
        <v>300</v>
      </c>
      <c r="F31" s="82">
        <v>20000</v>
      </c>
      <c r="G31" s="82">
        <v>35633</v>
      </c>
      <c r="H31" s="84">
        <v>35633</v>
      </c>
      <c r="I31" s="82">
        <v>100</v>
      </c>
      <c r="J31" s="82">
        <v>300</v>
      </c>
    </row>
    <row r="32" spans="1:10" x14ac:dyDescent="0.2">
      <c r="A32" s="82">
        <v>48</v>
      </c>
      <c r="B32" s="82" t="s">
        <v>158</v>
      </c>
      <c r="C32" s="82" t="s">
        <v>70</v>
      </c>
      <c r="D32" s="82" t="s">
        <v>116</v>
      </c>
      <c r="E32" s="82">
        <v>3000</v>
      </c>
      <c r="F32" s="82">
        <v>10000</v>
      </c>
      <c r="G32" s="82">
        <v>101442</v>
      </c>
      <c r="H32" s="84">
        <v>97</v>
      </c>
      <c r="I32" s="82">
        <v>0</v>
      </c>
      <c r="J32" s="82">
        <v>3</v>
      </c>
    </row>
    <row r="33" spans="1:10" x14ac:dyDescent="0.2">
      <c r="A33" s="82">
        <v>51</v>
      </c>
      <c r="B33" s="82" t="s">
        <v>160</v>
      </c>
      <c r="C33" s="82" t="s">
        <v>70</v>
      </c>
      <c r="D33" s="82" t="s">
        <v>116</v>
      </c>
      <c r="E33" s="82">
        <v>3800</v>
      </c>
      <c r="F33" s="82">
        <v>23750</v>
      </c>
      <c r="G33" s="82">
        <v>125959</v>
      </c>
      <c r="H33" s="84">
        <v>125959</v>
      </c>
      <c r="I33" s="82">
        <v>100</v>
      </c>
      <c r="J33" s="82">
        <v>3800</v>
      </c>
    </row>
    <row r="34" spans="1:10" x14ac:dyDescent="0.2">
      <c r="A34" s="82">
        <v>52</v>
      </c>
      <c r="B34" s="82" t="s">
        <v>196</v>
      </c>
      <c r="C34" s="82" t="s">
        <v>70</v>
      </c>
      <c r="D34" s="82" t="s">
        <v>182</v>
      </c>
      <c r="E34" s="82">
        <v>58000</v>
      </c>
      <c r="F34" s="82">
        <v>166600</v>
      </c>
      <c r="G34" s="82">
        <v>149866</v>
      </c>
      <c r="H34" s="84">
        <v>149866</v>
      </c>
      <c r="I34" s="82">
        <v>100</v>
      </c>
      <c r="J34" s="82">
        <v>58000</v>
      </c>
    </row>
    <row r="35" spans="1:10" x14ac:dyDescent="0.2">
      <c r="A35" s="82">
        <v>53</v>
      </c>
      <c r="B35" s="82" t="s">
        <v>197</v>
      </c>
      <c r="C35" s="82" t="s">
        <v>70</v>
      </c>
      <c r="D35" s="82" t="s">
        <v>182</v>
      </c>
      <c r="E35" s="82">
        <v>25500</v>
      </c>
      <c r="F35" s="82">
        <v>58000</v>
      </c>
      <c r="G35" s="82">
        <v>82697</v>
      </c>
      <c r="H35" s="84">
        <v>82697</v>
      </c>
      <c r="I35" s="82">
        <v>100</v>
      </c>
      <c r="J35" s="82">
        <v>25500</v>
      </c>
    </row>
    <row r="36" spans="1:10" x14ac:dyDescent="0.2">
      <c r="A36" s="82">
        <v>55</v>
      </c>
      <c r="B36" s="82" t="s">
        <v>162</v>
      </c>
      <c r="C36" s="82" t="s">
        <v>70</v>
      </c>
      <c r="D36" s="82" t="s">
        <v>116</v>
      </c>
      <c r="E36" s="82">
        <v>1400</v>
      </c>
      <c r="F36" s="82">
        <v>1400</v>
      </c>
      <c r="G36" s="82">
        <v>10842</v>
      </c>
      <c r="H36" s="84">
        <v>10842</v>
      </c>
      <c r="I36" s="82">
        <v>100</v>
      </c>
      <c r="J36" s="82">
        <v>1400</v>
      </c>
    </row>
    <row r="37" spans="1:10" x14ac:dyDescent="0.2">
      <c r="A37" s="82">
        <v>56</v>
      </c>
      <c r="B37" s="82" t="s">
        <v>198</v>
      </c>
      <c r="C37" s="82" t="s">
        <v>70</v>
      </c>
      <c r="D37" s="82" t="s">
        <v>182</v>
      </c>
      <c r="E37" s="82">
        <v>8000</v>
      </c>
      <c r="F37" s="82">
        <v>60000</v>
      </c>
      <c r="G37" s="82">
        <v>444486</v>
      </c>
      <c r="H37" s="84">
        <v>429076</v>
      </c>
      <c r="I37" s="82">
        <v>97</v>
      </c>
      <c r="J37" s="82">
        <v>7723</v>
      </c>
    </row>
    <row r="38" spans="1:10" x14ac:dyDescent="0.2">
      <c r="A38" s="82">
        <v>58</v>
      </c>
      <c r="B38" s="82" t="s">
        <v>164</v>
      </c>
      <c r="C38" s="82" t="s">
        <v>70</v>
      </c>
      <c r="D38" s="82" t="s">
        <v>116</v>
      </c>
      <c r="E38" s="82">
        <v>800</v>
      </c>
      <c r="F38" s="82">
        <v>1700</v>
      </c>
      <c r="G38" s="82">
        <v>59641</v>
      </c>
      <c r="H38" s="84">
        <v>59641</v>
      </c>
      <c r="I38" s="82">
        <v>100</v>
      </c>
      <c r="J38" s="82">
        <v>800</v>
      </c>
    </row>
    <row r="39" spans="1:10" x14ac:dyDescent="0.2">
      <c r="A39" s="82">
        <v>59</v>
      </c>
      <c r="B39" s="82" t="s">
        <v>199</v>
      </c>
      <c r="C39" s="82" t="s">
        <v>70</v>
      </c>
      <c r="D39" s="82" t="s">
        <v>182</v>
      </c>
      <c r="E39" s="82">
        <v>23100</v>
      </c>
      <c r="F39" s="82">
        <v>28100</v>
      </c>
      <c r="G39" s="82">
        <v>177828</v>
      </c>
      <c r="H39" s="84">
        <v>177828</v>
      </c>
      <c r="I39" s="82">
        <v>100</v>
      </c>
      <c r="J39" s="82">
        <v>23100</v>
      </c>
    </row>
    <row r="40" spans="1:10" x14ac:dyDescent="0.2">
      <c r="A40" s="82">
        <v>60</v>
      </c>
      <c r="B40" s="82" t="s">
        <v>200</v>
      </c>
      <c r="C40" s="82" t="s">
        <v>70</v>
      </c>
      <c r="D40" s="82" t="s">
        <v>182</v>
      </c>
      <c r="E40" s="82">
        <v>35700</v>
      </c>
      <c r="F40" s="82">
        <v>35700</v>
      </c>
      <c r="G40" s="82">
        <v>32359</v>
      </c>
      <c r="H40" s="84">
        <v>32359</v>
      </c>
      <c r="I40" s="82">
        <v>100</v>
      </c>
      <c r="J40" s="82">
        <v>35700</v>
      </c>
    </row>
    <row r="41" spans="1:10" x14ac:dyDescent="0.2">
      <c r="A41" s="82">
        <v>101</v>
      </c>
      <c r="B41" s="82" t="s">
        <v>201</v>
      </c>
      <c r="C41" s="82" t="s">
        <v>70</v>
      </c>
      <c r="D41" s="82" t="s">
        <v>182</v>
      </c>
      <c r="E41" s="82">
        <v>6600</v>
      </c>
      <c r="F41" s="82">
        <v>6600</v>
      </c>
      <c r="G41" s="82">
        <v>124783</v>
      </c>
      <c r="H41" s="84">
        <v>124783</v>
      </c>
      <c r="I41" s="82">
        <v>100</v>
      </c>
      <c r="J41" s="82">
        <v>6600</v>
      </c>
    </row>
    <row r="42" spans="1:10" x14ac:dyDescent="0.2">
      <c r="A42" s="82">
        <v>1</v>
      </c>
      <c r="B42" s="82" t="s">
        <v>202</v>
      </c>
      <c r="C42" s="82" t="s">
        <v>70</v>
      </c>
      <c r="D42" s="82" t="s">
        <v>182</v>
      </c>
      <c r="E42" s="82">
        <v>2000</v>
      </c>
      <c r="F42" s="82">
        <v>2000</v>
      </c>
      <c r="G42" s="82">
        <v>56764</v>
      </c>
      <c r="H42" s="85">
        <v>0</v>
      </c>
      <c r="I42" s="86">
        <v>0</v>
      </c>
      <c r="J42" s="86">
        <v>0</v>
      </c>
    </row>
    <row r="43" spans="1:10" x14ac:dyDescent="0.2">
      <c r="A43" s="82">
        <v>3</v>
      </c>
      <c r="B43" s="82" t="s">
        <v>203</v>
      </c>
      <c r="C43" s="82" t="s">
        <v>75</v>
      </c>
      <c r="D43" s="82" t="s">
        <v>182</v>
      </c>
      <c r="E43" s="82">
        <v>3420</v>
      </c>
      <c r="F43" s="82">
        <v>3420</v>
      </c>
      <c r="G43" s="82">
        <v>148417</v>
      </c>
      <c r="H43" s="85">
        <v>0</v>
      </c>
      <c r="I43" s="86">
        <v>0</v>
      </c>
      <c r="J43" s="86">
        <v>0</v>
      </c>
    </row>
    <row r="44" spans="1:10" x14ac:dyDescent="0.2">
      <c r="A44" s="82">
        <v>12</v>
      </c>
      <c r="B44" s="82" t="s">
        <v>204</v>
      </c>
      <c r="C44" s="82" t="s">
        <v>75</v>
      </c>
      <c r="D44" s="82" t="s">
        <v>182</v>
      </c>
      <c r="E44" s="82">
        <v>25400</v>
      </c>
      <c r="F44" s="82">
        <v>65000</v>
      </c>
      <c r="G44" s="82">
        <v>250044</v>
      </c>
      <c r="H44" s="85">
        <v>0</v>
      </c>
      <c r="I44" s="86">
        <v>0</v>
      </c>
      <c r="J44" s="86">
        <v>0</v>
      </c>
    </row>
    <row r="45" spans="1:10" x14ac:dyDescent="0.2">
      <c r="A45" s="82">
        <v>13</v>
      </c>
      <c r="B45" s="82" t="s">
        <v>205</v>
      </c>
      <c r="C45" s="82" t="s">
        <v>70</v>
      </c>
      <c r="D45" s="82" t="s">
        <v>182</v>
      </c>
      <c r="E45" s="82">
        <v>10000</v>
      </c>
      <c r="F45" s="82">
        <v>20000</v>
      </c>
      <c r="G45" s="82">
        <v>263134</v>
      </c>
      <c r="H45" s="85">
        <v>0</v>
      </c>
      <c r="I45" s="86">
        <v>0</v>
      </c>
      <c r="J45" s="86">
        <v>0</v>
      </c>
    </row>
    <row r="46" spans="1:10" x14ac:dyDescent="0.2">
      <c r="A46" s="82">
        <v>14</v>
      </c>
      <c r="B46" s="82" t="s">
        <v>206</v>
      </c>
      <c r="C46" s="82" t="s">
        <v>70</v>
      </c>
      <c r="D46" s="82" t="s">
        <v>182</v>
      </c>
      <c r="E46" s="82">
        <v>6000</v>
      </c>
      <c r="F46" s="82">
        <v>126500</v>
      </c>
      <c r="G46" s="82">
        <v>491364</v>
      </c>
      <c r="H46" s="85">
        <v>0</v>
      </c>
      <c r="I46" s="86">
        <v>0</v>
      </c>
      <c r="J46" s="86">
        <v>0</v>
      </c>
    </row>
    <row r="47" spans="1:10" x14ac:dyDescent="0.2">
      <c r="A47" s="82">
        <v>15</v>
      </c>
      <c r="B47" s="82" t="s">
        <v>207</v>
      </c>
      <c r="C47" s="82" t="s">
        <v>70</v>
      </c>
      <c r="D47" s="82" t="s">
        <v>182</v>
      </c>
      <c r="E47" s="82">
        <v>6000</v>
      </c>
      <c r="F47" s="82">
        <v>136000</v>
      </c>
      <c r="G47" s="82">
        <v>533528</v>
      </c>
      <c r="H47" s="85">
        <v>0</v>
      </c>
      <c r="I47" s="86">
        <v>0</v>
      </c>
      <c r="J47" s="86">
        <v>0</v>
      </c>
    </row>
    <row r="48" spans="1:10" x14ac:dyDescent="0.2">
      <c r="A48" s="82">
        <v>18</v>
      </c>
      <c r="B48" s="82" t="s">
        <v>208</v>
      </c>
      <c r="C48" s="82" t="s">
        <v>70</v>
      </c>
      <c r="D48" s="82" t="s">
        <v>182</v>
      </c>
      <c r="E48" s="82">
        <v>20000</v>
      </c>
      <c r="F48" s="82">
        <v>30241</v>
      </c>
      <c r="G48" s="82">
        <v>181724</v>
      </c>
      <c r="H48" s="85">
        <v>0</v>
      </c>
      <c r="I48" s="86">
        <v>0</v>
      </c>
      <c r="J48" s="86">
        <v>0</v>
      </c>
    </row>
    <row r="49" spans="1:11" x14ac:dyDescent="0.2">
      <c r="A49" s="82">
        <v>20</v>
      </c>
      <c r="B49" s="82" t="s">
        <v>170</v>
      </c>
      <c r="C49" s="82" t="s">
        <v>70</v>
      </c>
      <c r="D49" s="82" t="s">
        <v>116</v>
      </c>
      <c r="E49" s="82">
        <v>3000</v>
      </c>
      <c r="F49" s="82">
        <v>23300</v>
      </c>
      <c r="G49" s="82">
        <v>153976</v>
      </c>
      <c r="H49" s="85">
        <v>0</v>
      </c>
      <c r="I49" s="86">
        <v>0</v>
      </c>
      <c r="J49" s="86">
        <v>0</v>
      </c>
    </row>
    <row r="50" spans="1:11" x14ac:dyDescent="0.2">
      <c r="A50" s="82">
        <v>21</v>
      </c>
      <c r="B50" s="82" t="s">
        <v>209</v>
      </c>
      <c r="C50" s="82" t="s">
        <v>70</v>
      </c>
      <c r="D50" s="82" t="s">
        <v>182</v>
      </c>
      <c r="E50" s="82">
        <v>2000</v>
      </c>
      <c r="F50" s="82">
        <v>2000</v>
      </c>
      <c r="G50" s="82">
        <v>17583</v>
      </c>
      <c r="H50" s="85">
        <v>0</v>
      </c>
      <c r="I50" s="86">
        <v>0</v>
      </c>
      <c r="J50" s="86">
        <v>0</v>
      </c>
    </row>
    <row r="51" spans="1:11" x14ac:dyDescent="0.2">
      <c r="A51" s="82">
        <v>80</v>
      </c>
      <c r="B51" s="82" t="s">
        <v>172</v>
      </c>
      <c r="C51" s="82" t="s">
        <v>73</v>
      </c>
      <c r="D51" s="82" t="s">
        <v>116</v>
      </c>
      <c r="E51" s="82">
        <v>500</v>
      </c>
      <c r="F51" s="82">
        <v>500</v>
      </c>
      <c r="G51" s="82">
        <v>320007</v>
      </c>
      <c r="H51" s="85">
        <v>0</v>
      </c>
      <c r="I51" s="86">
        <v>0</v>
      </c>
      <c r="J51" s="86">
        <v>0</v>
      </c>
    </row>
    <row r="52" spans="1:11" x14ac:dyDescent="0.2">
      <c r="A52" s="82">
        <v>88</v>
      </c>
      <c r="B52" s="82" t="s">
        <v>210</v>
      </c>
      <c r="C52" s="82" t="s">
        <v>74</v>
      </c>
      <c r="D52" s="82" t="s">
        <v>182</v>
      </c>
      <c r="E52" s="82">
        <v>9000</v>
      </c>
      <c r="F52" s="82">
        <v>80820</v>
      </c>
      <c r="G52" s="82">
        <v>536974</v>
      </c>
      <c r="H52" s="85">
        <v>0</v>
      </c>
      <c r="I52" s="86">
        <v>0</v>
      </c>
      <c r="J52" s="86">
        <v>0</v>
      </c>
    </row>
    <row r="53" spans="1:11" x14ac:dyDescent="0.2">
      <c r="A53" s="82">
        <v>89</v>
      </c>
      <c r="B53" s="82" t="s">
        <v>211</v>
      </c>
      <c r="C53" s="82" t="s">
        <v>74</v>
      </c>
      <c r="D53" s="82" t="s">
        <v>182</v>
      </c>
      <c r="E53" s="82">
        <v>13500</v>
      </c>
      <c r="F53" s="82">
        <v>87734</v>
      </c>
      <c r="G53" s="82">
        <v>406285</v>
      </c>
      <c r="H53" s="85">
        <v>0</v>
      </c>
      <c r="I53" s="86">
        <v>0</v>
      </c>
      <c r="J53" s="86">
        <v>0</v>
      </c>
    </row>
    <row r="54" spans="1:11" x14ac:dyDescent="0.2">
      <c r="A54" s="82">
        <v>90</v>
      </c>
      <c r="B54" s="82" t="s">
        <v>212</v>
      </c>
      <c r="C54" s="82" t="s">
        <v>74</v>
      </c>
      <c r="D54" s="82" t="s">
        <v>182</v>
      </c>
      <c r="E54" s="82">
        <v>18000</v>
      </c>
      <c r="F54" s="82">
        <v>222773</v>
      </c>
      <c r="G54" s="82">
        <v>544650</v>
      </c>
      <c r="H54" s="85">
        <v>0</v>
      </c>
      <c r="I54" s="86">
        <v>0</v>
      </c>
      <c r="J54" s="86">
        <v>0</v>
      </c>
    </row>
    <row r="57" spans="1:11" ht="15" x14ac:dyDescent="0.25">
      <c r="C57" s="82" t="s">
        <v>70</v>
      </c>
      <c r="E57" s="82">
        <f>+SUMIF(Table13[s_sveitafela],"Reykjavík",Table13[at_fm_v2])</f>
        <v>259588</v>
      </c>
      <c r="J57" s="82">
        <f>+SUMIF(Table13[s_sveitafela],"Reykjavík",Table13[fm_hlutfal])</f>
        <v>188865</v>
      </c>
      <c r="K57" s="87">
        <f>+J57/E57</f>
        <v>0.72755674376319401</v>
      </c>
    </row>
    <row r="58" spans="1:11" ht="15" x14ac:dyDescent="0.25">
      <c r="C58" s="82" t="s">
        <v>71</v>
      </c>
      <c r="E58" s="82">
        <f>+SUMIF(Table13[s_sveitafela],"Kópavogur",Table13[at_fm_v2])</f>
        <v>22300</v>
      </c>
      <c r="J58" s="82">
        <f>+SUMIF(Table13[s_sveitafela],"Kópavogur",Table13[fm_hlutfal])</f>
        <v>12170</v>
      </c>
      <c r="K58" s="87">
        <f t="shared" ref="K58:K63" si="0">+J58/E58</f>
        <v>0.54573991031390134</v>
      </c>
    </row>
    <row r="59" spans="1:11" ht="15" x14ac:dyDescent="0.25">
      <c r="C59" s="82" t="s">
        <v>72</v>
      </c>
      <c r="E59" s="82">
        <f>+SUMIF(Table13[s_sveitafela],"Seltjarnarnes",Table13[at_fm_v2])</f>
        <v>0</v>
      </c>
      <c r="J59" s="82">
        <f>+SUMIF(Table13[s_sveitafela],"Seltjarnarnes",Table13[fm_hlutfal])</f>
        <v>0</v>
      </c>
      <c r="K59" s="87"/>
    </row>
    <row r="60" spans="1:11" ht="15" x14ac:dyDescent="0.25">
      <c r="C60" s="82" t="s">
        <v>73</v>
      </c>
      <c r="E60" s="82">
        <f>+SUMIF(Table13[s_sveitafela],"Garðabær",Table13[at_fm_v2])</f>
        <v>31300</v>
      </c>
      <c r="J60" s="82">
        <f>+SUMIF(Table13[s_sveitafela],"Garðabær",Table13[fm_hlutfal])</f>
        <v>28521</v>
      </c>
      <c r="K60" s="87">
        <f t="shared" si="0"/>
        <v>0.91121405750798723</v>
      </c>
    </row>
    <row r="61" spans="1:11" ht="15" x14ac:dyDescent="0.25">
      <c r="C61" s="82" t="s">
        <v>74</v>
      </c>
      <c r="E61" s="82">
        <f>+SUMIF(Table13[s_sveitafela],"Hafnarfjörður",Table13[at_fm_v2])</f>
        <v>66000</v>
      </c>
      <c r="J61" s="82">
        <f>+SUMIF(Table13[s_sveitafela],"Hafnarfjörður",Table13[fm_hlutfal])</f>
        <v>20645</v>
      </c>
      <c r="K61" s="87">
        <f t="shared" si="0"/>
        <v>0.3128030303030303</v>
      </c>
    </row>
    <row r="62" spans="1:11" ht="15" x14ac:dyDescent="0.25">
      <c r="C62" s="82" t="s">
        <v>75</v>
      </c>
      <c r="E62" s="82">
        <f>+SUMIF(Table13[s_sveitafela],"Mosfellsbær",Table13[at_fm_v2])</f>
        <v>54143</v>
      </c>
      <c r="J62" s="82">
        <f>+SUMIF(Table13[s_sveitafela],"Mosfellsbær",Table13[fm_hlutfal])</f>
        <v>25323</v>
      </c>
      <c r="K62" s="87">
        <f t="shared" si="0"/>
        <v>0.46770588995807399</v>
      </c>
    </row>
    <row r="63" spans="1:11" ht="15" x14ac:dyDescent="0.25">
      <c r="C63" s="82" t="s">
        <v>76</v>
      </c>
      <c r="E63" s="82">
        <f>+SUM(E57:E62)</f>
        <v>433331</v>
      </c>
      <c r="J63" s="82">
        <f>+SUM(J57:J62)</f>
        <v>275524</v>
      </c>
      <c r="K63" s="87">
        <f t="shared" si="0"/>
        <v>0.63582803907405661</v>
      </c>
    </row>
  </sheetData>
  <mergeCells count="1">
    <mergeCell ref="H1:J1"/>
  </mergeCell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1551F182CBB14BB95C67CA49D326DD" ma:contentTypeVersion="14" ma:contentTypeDescription="Create a new document." ma:contentTypeScope="" ma:versionID="5ab4c35f46915f5fc6eda8a0be713aaa">
  <xsd:schema xmlns:xsd="http://www.w3.org/2001/XMLSchema" xmlns:xs="http://www.w3.org/2001/XMLSchema" xmlns:p="http://schemas.microsoft.com/office/2006/metadata/properties" xmlns:ns2="abbeec68-b05e-4e2e-88e5-2ac3e13fe809" xmlns:ns3="14bfd2bb-3d4a-4549-9197-f3410a8da64b" xmlns:ns4="2cf7a10c-b9dc-432b-9424-3bf6913679d9" xmlns:ns5="fa0da59c-5e20-4dc5-a7d8-b2dc70fba579" targetNamespace="http://schemas.microsoft.com/office/2006/metadata/properties" ma:root="true" ma:fieldsID="1f4650006f9ab001ba89a1abd04b6d0c" ns2:_="" ns3:_="" ns4:_="" ns5:_="">
    <xsd:import namespace="abbeec68-b05e-4e2e-88e5-2ac3e13fe809"/>
    <xsd:import namespace="14bfd2bb-3d4a-4549-9197-f3410a8da64b"/>
    <xsd:import namespace="2cf7a10c-b9dc-432b-9424-3bf6913679d9"/>
    <xsd:import namespace="fa0da59c-5e20-4dc5-a7d8-b2dc70fba579"/>
    <xsd:element name="properties">
      <xsd:complexType>
        <xsd:sequence>
          <xsd:element name="documentManagement">
            <xsd:complexType>
              <xsd:all>
                <xsd:element ref="ns2:wp_tag" minOccurs="0"/>
                <xsd:element ref="ns3:wpItemLocation" minOccurs="0"/>
                <xsd:element ref="ns4:Skjalategund" minOccurs="0"/>
                <xsd:element ref="ns4:Athugasemd" minOccurs="0"/>
                <xsd:element ref="ns4:approvalVerkefnisgogn" minOccurs="0"/>
                <xsd:element ref="ns4:utgefidDags" minOccurs="0"/>
                <xsd:element ref="ns5:MediaServiceMetadata" minOccurs="0"/>
                <xsd:element ref="ns5:MediaServiceFastMetadata" minOccurs="0"/>
                <xsd:element ref="ns4:docApproverText" minOccurs="0"/>
                <xsd:element ref="ns5:MediaServiceAutoTags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beec68-b05e-4e2e-88e5-2ac3e13fe809" elementFormDefault="qualified">
    <xsd:import namespace="http://schemas.microsoft.com/office/2006/documentManagement/types"/>
    <xsd:import namespace="http://schemas.microsoft.com/office/infopath/2007/PartnerControls"/>
    <xsd:element name="wp_tag" ma:index="8" nillable="true" ma:displayName="Stage tag" ma:default="Opið" ma:internalName="wp_tag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bfd2bb-3d4a-4549-9197-f3410a8da64b" elementFormDefault="qualified">
    <xsd:import namespace="http://schemas.microsoft.com/office/2006/documentManagement/types"/>
    <xsd:import namespace="http://schemas.microsoft.com/office/infopath/2007/PartnerControls"/>
    <xsd:element name="wpItemLocation" ma:index="9" nillable="true" ma:displayName="wpItemLocation" ma:default="5aa2a412567d486ca18d576e7b2c5224;e7eb5b9849cc4bfea38727a373d3066f;362;ade6174cbb4c4522bb84fe13d9969b05;740;" ma:internalName="wpItem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f7a10c-b9dc-432b-9424-3bf6913679d9" elementFormDefault="qualified">
    <xsd:import namespace="http://schemas.microsoft.com/office/2006/documentManagement/types"/>
    <xsd:import namespace="http://schemas.microsoft.com/office/infopath/2007/PartnerControls"/>
    <xsd:element name="Skjalategund" ma:index="10" nillable="true" ma:displayName="Skjalategund" ma:format="Dropdown" ma:internalName="Skjalategund">
      <xsd:simpleType>
        <xsd:union memberTypes="dms:Text">
          <xsd:simpleType>
            <xsd:restriction base="dms:Choice">
              <xsd:enumeration value="Aðaluppdrættir"/>
              <xsd:enumeration value="Afhending gagna"/>
              <xsd:enumeration value="Auka- og viðbótarverk"/>
              <xsd:enumeration value="Áhlaupslistar"/>
              <xsd:enumeration value="Áætlanir"/>
              <xsd:enumeration value="Breytingar"/>
              <xsd:enumeration value="Bréf"/>
              <xsd:enumeration value="Dagbók"/>
              <xsd:enumeration value="Dagskýrslur"/>
              <xsd:enumeration value="DWG-grunnar"/>
              <xsd:enumeration value="Efnissamþykktir"/>
              <xsd:enumeration value="Eftirlit"/>
              <xsd:enumeration value="Fundagerðir"/>
              <xsd:enumeration value="Greinargerð"/>
              <xsd:enumeration value="Gæðaskjöl"/>
              <xsd:enumeration value="Handbækur"/>
              <xsd:enumeration value="Hönnuðir"/>
              <xsd:enumeration value="Hönnunarforsendur"/>
              <xsd:enumeration value="IFC-skrár"/>
              <xsd:enumeration value="Kröfur"/>
              <xsd:enumeration value="Kynningar"/>
              <xsd:enumeration value="Leyfisgögn"/>
              <xsd:enumeration value="Minnisblöð"/>
              <xsd:enumeration value="Myndir"/>
              <xsd:enumeration value="Niðurstöður"/>
              <xsd:enumeration value="Orðsendingar"/>
              <xsd:enumeration value="Póstur"/>
              <xsd:enumeration value="Reikningar"/>
              <xsd:enumeration value="RVT-skrár"/>
              <xsd:enumeration value="Rýnigögn"/>
              <xsd:enumeration value="Samningar"/>
              <xsd:enumeration value="Skilagreinar"/>
              <xsd:enumeration value="Skýrslur"/>
              <xsd:enumeration value="Teikningar"/>
              <xsd:enumeration value="Teikningarskrá"/>
              <xsd:enumeration value="Tilboð"/>
              <xsd:enumeration value="Tilboðsgögn"/>
              <xsd:enumeration value="Tækniupplýsingar"/>
              <xsd:enumeration value="Umhverfismál"/>
              <xsd:enumeration value="Umsagnir"/>
              <xsd:enumeration value="Útboðsgögn"/>
              <xsd:enumeration value="Útgefin gögn"/>
              <xsd:enumeration value="Útreikningar"/>
              <xsd:enumeration value="Úttektir"/>
              <xsd:enumeration value="Verkfundagerð"/>
              <xsd:enumeration value="Verklýsingar"/>
              <xsd:enumeration value="Verkteikningar"/>
              <xsd:enumeration value="Vinnugögn"/>
              <xsd:enumeration value="Öryggismál"/>
            </xsd:restriction>
          </xsd:simpleType>
        </xsd:union>
      </xsd:simpleType>
    </xsd:element>
    <xsd:element name="Athugasemd" ma:index="11" nillable="true" ma:displayName="Athugasemd" ma:internalName="Athugasemd">
      <xsd:simpleType>
        <xsd:restriction base="dms:Note">
          <xsd:maxLength value="255"/>
        </xsd:restriction>
      </xsd:simpleType>
    </xsd:element>
    <xsd:element name="approvalVerkefnisgogn" ma:index="12" nillable="true" ma:displayName="Samþykki skjala" ma:internalName="approvalVerkefnisgogn">
      <xsd:simpleType>
        <xsd:restriction base="dms:Text">
          <xsd:maxLength value="255"/>
        </xsd:restriction>
      </xsd:simpleType>
    </xsd:element>
    <xsd:element name="utgefidDags" ma:index="13" nillable="true" ma:displayName="Útgefið" ma:format="DateOnly" ma:internalName="utgefidDags">
      <xsd:simpleType>
        <xsd:restriction base="dms:DateTime"/>
      </xsd:simpleType>
    </xsd:element>
    <xsd:element name="docApproverText" ma:index="16" nillable="true" ma:displayName="Samþykkt af" ma:internalName="docApproverTex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0da59c-5e20-4dc5-a7d8-b2dc70fba5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alVerkefnisgogn xmlns="2cf7a10c-b9dc-432b-9424-3bf6913679d9" xsi:nil="true"/>
    <utgefidDags xmlns="2cf7a10c-b9dc-432b-9424-3bf6913679d9" xsi:nil="true"/>
    <Skjalategund xmlns="2cf7a10c-b9dc-432b-9424-3bf6913679d9" xsi:nil="true"/>
    <Athugasemd xmlns="2cf7a10c-b9dc-432b-9424-3bf6913679d9" xsi:nil="true"/>
    <docApproverText xmlns="2cf7a10c-b9dc-432b-9424-3bf6913679d9" xsi:nil="true"/>
    <wp_tag xmlns="abbeec68-b05e-4e2e-88e5-2ac3e13fe809">Opið</wp_tag>
    <wpItemLocation xmlns="14bfd2bb-3d4a-4549-9197-f3410a8da64b">5aa2a412567d486ca18d576e7b2c5224;e7eb5b9849cc4bfea38727a373d3066f;362;ade6174cbb4c4522bb84fe13d9969b05;740;</wpItemLocation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D3480B-9907-4109-B022-0BAC47333E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beec68-b05e-4e2e-88e5-2ac3e13fe809"/>
    <ds:schemaRef ds:uri="14bfd2bb-3d4a-4549-9197-f3410a8da64b"/>
    <ds:schemaRef ds:uri="2cf7a10c-b9dc-432b-9424-3bf6913679d9"/>
    <ds:schemaRef ds:uri="fa0da59c-5e20-4dc5-a7d8-b2dc70fba5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F25C55-8B2B-469C-A516-8D814B123C47}">
  <ds:schemaRefs>
    <ds:schemaRef ds:uri="2cf7a10c-b9dc-432b-9424-3bf6913679d9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abbeec68-b05e-4e2e-88e5-2ac3e13fe809"/>
    <ds:schemaRef ds:uri="http://purl.org/dc/elements/1.1/"/>
    <ds:schemaRef ds:uri="fa0da59c-5e20-4dc5-a7d8-b2dc70fba579"/>
    <ds:schemaRef ds:uri="http://schemas.microsoft.com/office/2006/documentManagement/types"/>
    <ds:schemaRef ds:uri="14bfd2bb-3d4a-4549-9197-f3410a8da64b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32EFF69-9545-4665-98EF-5C04C4647F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IBUASPA_OG_IBUDATHÖRF</vt:lpstr>
      <vt:lpstr>FJÖLDI_STARFA</vt:lpstr>
      <vt:lpstr>SAMGÖNGUM SVÆDI</vt:lpstr>
      <vt:lpstr>Spá um íbúafjölgun skv HMS</vt:lpstr>
      <vt:lpstr>ibudasvaedi_samgongur</vt:lpstr>
      <vt:lpstr>atvinnusvaedi_samgongur</vt:lpstr>
      <vt:lpstr>ibudasvaedi_samgongur!Print_Titles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Samúel Torfi Pétursson</dc:creator>
  <cp:lastModifiedBy>Samúel Torfi Pétursson</cp:lastModifiedBy>
  <dcterms:created xsi:type="dcterms:W3CDTF">2020-08-31T13:46:32Z</dcterms:created>
  <dcterms:modified xsi:type="dcterms:W3CDTF">2021-03-10T16:30:05Z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0x010100161551F182CBB14BB95C67CA49D326DD</vt:lpwstr>
  </property>
</Properties>
</file>